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5480" windowHeight="10620" activeTab="0"/>
  </bookViews>
  <sheets>
    <sheet name="Sheet1" sheetId="1" r:id="rId1"/>
    <sheet name="Sheet2" sheetId="2" r:id="rId2"/>
    <sheet name="Sheet3" sheetId="3" r:id="rId3"/>
    <sheet name="Grimoire" sheetId="4" r:id="rId4"/>
    <sheet name="Tables" sheetId="5" r:id="rId5"/>
    <sheet name="Credits" sheetId="6" r:id="rId6"/>
  </sheets>
  <definedNames>
    <definedName name="_xlnm._FilterDatabase" localSheetId="3" hidden="1">'Grimoire'!$A$12:$V$370</definedName>
    <definedName name="An" localSheetId="3">'Grimoire'!$H$2</definedName>
    <definedName name="Animal">'Sheet2'!$Q$4</definedName>
    <definedName name="Aq" localSheetId="3">'Grimoire'!$I$2</definedName>
    <definedName name="Aquam">'Sheet2'!$Q$6</definedName>
    <definedName name="Au" localSheetId="3">'Grimoire'!$J$2</definedName>
    <definedName name="Auram">'Sheet2'!$Q$8</definedName>
    <definedName name="Co" localSheetId="3">'Grimoire'!$K$2</definedName>
    <definedName name="Com">'Sheet1'!$L$5</definedName>
    <definedName name="Corpus">'Sheet2'!$Q$10</definedName>
    <definedName name="Cr" localSheetId="3">'Grimoire'!$G$3</definedName>
    <definedName name="Creo">'Sheet2'!$G$4</definedName>
    <definedName name="CRITERIA" localSheetId="3">'Grimoire'!$B$8:$B$10</definedName>
    <definedName name="Dex">'Sheet1'!$L$8</definedName>
    <definedName name="Durations">'Tables'!$B$95:$C$101</definedName>
    <definedName name="He" localSheetId="3">'Grimoire'!$L$2</definedName>
    <definedName name="Herbam">'Sheet2'!$Q$12</definedName>
    <definedName name="Ig" localSheetId="3">'Grimoire'!$M$2</definedName>
    <definedName name="Ignem">'Sheet2'!$Q$14</definedName>
    <definedName name="Im" localSheetId="3">'Grimoire'!$N$2</definedName>
    <definedName name="Imaginem">'Sheet2'!$Q$16</definedName>
    <definedName name="In" localSheetId="3">'Grimoire'!$G$4</definedName>
    <definedName name="Int">'Sheet1'!$L$2</definedName>
    <definedName name="Intellego">'Sheet2'!$G$6</definedName>
    <definedName name="Load">'Sheet2'!$S$39</definedName>
    <definedName name="Me" localSheetId="3">'Grimoire'!$O$2</definedName>
    <definedName name="Mentem">'Sheet2'!$Q$18</definedName>
    <definedName name="Mu" localSheetId="3">'Grimoire'!$G$5</definedName>
    <definedName name="Muto">'Sheet2'!$G$8</definedName>
    <definedName name="Pe" localSheetId="3">'Grimoire'!$G$6</definedName>
    <definedName name="Per">'Sheet1'!$L$3</definedName>
    <definedName name="Perdo">'Sheet2'!$G$10</definedName>
    <definedName name="Pre">'Sheet1'!$L$4</definedName>
    <definedName name="Qui">'Sheet1'!$L$9</definedName>
    <definedName name="Ranges">'Tables'!$B$87:$C$92</definedName>
    <definedName name="Re" localSheetId="3">'Grimoire'!$G$7</definedName>
    <definedName name="Rego">'Sheet2'!$G$12</definedName>
    <definedName name="Siz">'Sheet1'!$C$9</definedName>
    <definedName name="Sta">'Sheet1'!$L$7</definedName>
    <definedName name="Str">'Sheet1'!$L$6</definedName>
    <definedName name="Targets">'Tables'!$B$104:$C$115</definedName>
    <definedName name="Te" localSheetId="3">'Grimoire'!$P$2</definedName>
    <definedName name="Terram">'Sheet2'!$Q$20</definedName>
    <definedName name="Vi" localSheetId="3">'Grimoire'!$Q$2</definedName>
    <definedName name="Vim">'Sheet2'!$Q$22</definedName>
    <definedName name="WeaponTable">'Tables'!$B$7:$L$82</definedName>
  </definedNames>
  <calcPr fullCalcOnLoad="1"/>
</workbook>
</file>

<file path=xl/sharedStrings.xml><?xml version="1.0" encoding="utf-8"?>
<sst xmlns="http://schemas.openxmlformats.org/spreadsheetml/2006/main" count="4300" uniqueCount="902">
  <si>
    <t>魔術師の印</t>
  </si>
  <si>
    <t>ヘルメス魔法</t>
  </si>
  <si>
    <t xml:space="preserve"> </t>
  </si>
  <si>
    <t>Weapon</t>
  </si>
  <si>
    <t>Init</t>
  </si>
  <si>
    <t>Atk</t>
  </si>
  <si>
    <t>Dfn</t>
  </si>
  <si>
    <t>Dam</t>
  </si>
  <si>
    <t>Spc</t>
  </si>
  <si>
    <t>Cost</t>
  </si>
  <si>
    <t>n/a</t>
  </si>
  <si>
    <t>Load</t>
  </si>
  <si>
    <t>Ö</t>
  </si>
  <si>
    <t>O</t>
  </si>
  <si>
    <t>(Missile)</t>
  </si>
  <si>
    <t>Target</t>
  </si>
  <si>
    <t>Brawl</t>
  </si>
  <si>
    <t>spare</t>
  </si>
  <si>
    <t>An</t>
  </si>
  <si>
    <t>Aq</t>
  </si>
  <si>
    <t>Au</t>
  </si>
  <si>
    <t>Co</t>
  </si>
  <si>
    <t>He</t>
  </si>
  <si>
    <t>Ig</t>
  </si>
  <si>
    <t>Im</t>
  </si>
  <si>
    <t>Me</t>
  </si>
  <si>
    <t>Te</t>
  </si>
  <si>
    <t>Vi</t>
  </si>
  <si>
    <t>Affinities here…</t>
  </si>
  <si>
    <t>Cr</t>
  </si>
  <si>
    <t>In</t>
  </si>
  <si>
    <t>tot</t>
  </si>
  <si>
    <t>Mu</t>
  </si>
  <si>
    <t>Pe</t>
  </si>
  <si>
    <t>learnt</t>
  </si>
  <si>
    <t>Re</t>
  </si>
  <si>
    <t>learn</t>
  </si>
  <si>
    <t>y</t>
  </si>
  <si>
    <t>m</t>
  </si>
  <si>
    <t>Spont</t>
  </si>
  <si>
    <t>Spont Diff.</t>
  </si>
  <si>
    <t>Form Diff.</t>
  </si>
  <si>
    <t>Name</t>
  </si>
  <si>
    <t>Fo</t>
  </si>
  <si>
    <t>te req</t>
  </si>
  <si>
    <t>fo req</t>
  </si>
  <si>
    <t>Lvl</t>
  </si>
  <si>
    <t>CT</t>
  </si>
  <si>
    <t>Aff?</t>
  </si>
  <si>
    <t>Range</t>
  </si>
  <si>
    <t>R?</t>
  </si>
  <si>
    <t>Comments</t>
  </si>
  <si>
    <t>n</t>
  </si>
  <si>
    <t>Soothe the Pains of the Beast</t>
  </si>
  <si>
    <t/>
  </si>
  <si>
    <t>Ind</t>
  </si>
  <si>
    <t>Weavers Trap of Webs</t>
  </si>
  <si>
    <t>Spec</t>
  </si>
  <si>
    <t>Curse of the Ravenous Swarm</t>
  </si>
  <si>
    <t>Touch</t>
  </si>
  <si>
    <t>Moon</t>
  </si>
  <si>
    <t>Bound</t>
  </si>
  <si>
    <t>R</t>
  </si>
  <si>
    <t>G</t>
  </si>
  <si>
    <t>Image of the Beast</t>
  </si>
  <si>
    <t>Arcane</t>
  </si>
  <si>
    <t>Conc</t>
  </si>
  <si>
    <t>Shiver of the Lycanthrope</t>
  </si>
  <si>
    <t>Opening the Tome of the Animals Mind</t>
  </si>
  <si>
    <t>Hunters Sense</t>
  </si>
  <si>
    <t>Beast of Outlandish Size</t>
  </si>
  <si>
    <t>Growth of the Creeping Things</t>
  </si>
  <si>
    <t>The Beast Remade</t>
  </si>
  <si>
    <t>Steed of Vengance</t>
  </si>
  <si>
    <t>Transformation of the Ravenous Beast to the Torpid Toad</t>
  </si>
  <si>
    <t>Agony of the Beast</t>
  </si>
  <si>
    <t>Mom</t>
  </si>
  <si>
    <t>Decay of Fur and Hide</t>
  </si>
  <si>
    <t>Cripple of the Howling Wolf</t>
  </si>
  <si>
    <t>The Falcons Hood</t>
  </si>
  <si>
    <t>Disguise of the Putrid Aroma</t>
  </si>
  <si>
    <t>Soothe the Ferocious Bear</t>
  </si>
  <si>
    <t>Panic of the Elephants Mouse</t>
  </si>
  <si>
    <t>The Gentle Beast</t>
  </si>
  <si>
    <t>Circle of Beast Warding</t>
  </si>
  <si>
    <t>Group</t>
  </si>
  <si>
    <t>Mastering the Unruly Beast</t>
  </si>
  <si>
    <t>Commanding the Harnessed Beast</t>
  </si>
  <si>
    <t>Ward Against the Beasts of Legend</t>
  </si>
  <si>
    <t>Ring</t>
  </si>
  <si>
    <t>Creeping Oil</t>
  </si>
  <si>
    <t>Footsteps of Slippery Oil</t>
  </si>
  <si>
    <t>Mighty Torrent of Water</t>
  </si>
  <si>
    <t>Per</t>
  </si>
  <si>
    <t>Sun</t>
  </si>
  <si>
    <t>Deluge of Rushing and Dashing</t>
  </si>
  <si>
    <t>Subtle Taste of Poison and Purity</t>
  </si>
  <si>
    <t>Touch of the Pearls</t>
  </si>
  <si>
    <t>Call of the Rushing Waters</t>
  </si>
  <si>
    <t>Voice of the Lake</t>
  </si>
  <si>
    <t>Enchantment of the Scrying Pool</t>
  </si>
  <si>
    <t>Year</t>
  </si>
  <si>
    <t>Lungs of the Fish</t>
  </si>
  <si>
    <t>Breath of Winter</t>
  </si>
  <si>
    <t>Incantation of Putrid wine</t>
  </si>
  <si>
    <t>Room</t>
  </si>
  <si>
    <t>Ice of Drowning</t>
  </si>
  <si>
    <t>Bridge of Frost</t>
  </si>
  <si>
    <t>Vile Water of Sterility</t>
  </si>
  <si>
    <t>Parching Wind</t>
  </si>
  <si>
    <t>Curse of the Desert</t>
  </si>
  <si>
    <t>Calling the Odious Drought</t>
  </si>
  <si>
    <t>Cloak of the Ducks Feathers</t>
  </si>
  <si>
    <t>Break the Oncoming Wave</t>
  </si>
  <si>
    <t>Push of the Gentle Wave</t>
  </si>
  <si>
    <t>Chaos of the Angry Waves</t>
  </si>
  <si>
    <t>Parting the Waves</t>
  </si>
  <si>
    <t>Pull of the Watery Grave</t>
  </si>
  <si>
    <t>Sight</t>
  </si>
  <si>
    <t>Tower of Whirling Water</t>
  </si>
  <si>
    <t>Waves of Drowning and Smashing</t>
  </si>
  <si>
    <t>Neptunes Wrath</t>
  </si>
  <si>
    <t>Ward against Faeries of the Waters</t>
  </si>
  <si>
    <t>Air's Ghostly Form</t>
  </si>
  <si>
    <t>Chamber of Spring Breezes</t>
  </si>
  <si>
    <t>Jupiter's Resounding Blow</t>
  </si>
  <si>
    <t>Stench of the Twenty Corpses</t>
  </si>
  <si>
    <t>Charge of the Angry Winds</t>
  </si>
  <si>
    <t>Wreaths of Foul Smoke</t>
  </si>
  <si>
    <t>Clouds of Rain and Thunder</t>
  </si>
  <si>
    <t>Clouds of Summer Snow</t>
  </si>
  <si>
    <t>The Incantation of Lightning</t>
  </si>
  <si>
    <t>Breath of the Open Sky</t>
  </si>
  <si>
    <t>Wrath of Whirling Winds and Water</t>
  </si>
  <si>
    <t>True Sight of the Air</t>
  </si>
  <si>
    <t>Whispering Winds</t>
  </si>
  <si>
    <t>Eyes of the Bat</t>
  </si>
  <si>
    <t>Sailors Foretaste of the Morrow</t>
  </si>
  <si>
    <t>Rain of Stones</t>
  </si>
  <si>
    <t>Talons of the Wind</t>
  </si>
  <si>
    <t>Infernal Smoke of Death</t>
  </si>
  <si>
    <t>Fog of Confusion</t>
  </si>
  <si>
    <t>Rain of Oil</t>
  </si>
  <si>
    <t>Room of Stale Air</t>
  </si>
  <si>
    <t>Quiet of the Raging Winds</t>
  </si>
  <si>
    <t>The Cloudless Sky Returned</t>
  </si>
  <si>
    <t>Wind at the Back</t>
  </si>
  <si>
    <t>Broom of the Winds</t>
  </si>
  <si>
    <t>Circling Winds of Protection</t>
  </si>
  <si>
    <t>Wings of the Soaring Wind</t>
  </si>
  <si>
    <t>Gathering of the Stormy Might</t>
  </si>
  <si>
    <t>Pull of the Skybound Winds</t>
  </si>
  <si>
    <t>Ward Against Faeries of the Air</t>
  </si>
  <si>
    <t>Bind Wound</t>
  </si>
  <si>
    <t>Charm against Putrefaction</t>
  </si>
  <si>
    <t>Gentle touch of the Purified Body</t>
  </si>
  <si>
    <t>The Chirurgeon's Healing Touch</t>
  </si>
  <si>
    <t>Restoration of the Defiled Body</t>
  </si>
  <si>
    <t>The Severed Limb Made Whole</t>
  </si>
  <si>
    <t>Incantation of the Body Made Whole</t>
  </si>
  <si>
    <t>Circle</t>
  </si>
  <si>
    <t>The Shadow of Life Renewed</t>
  </si>
  <si>
    <t>Physician's Eye</t>
  </si>
  <si>
    <t>Revealed Flaws of Mortal Flesh</t>
  </si>
  <si>
    <t>The Inexorable Search</t>
  </si>
  <si>
    <t>The Eye of the Sage</t>
  </si>
  <si>
    <t>Sight of the True Form</t>
  </si>
  <si>
    <t>Eyes of the Cat</t>
  </si>
  <si>
    <t>Disguise of the New Visage</t>
  </si>
  <si>
    <t>Arm of the Infant</t>
  </si>
  <si>
    <t>Preturnatural Growth and Shrinking</t>
  </si>
  <si>
    <t>Gift of the Bears Fortitude</t>
  </si>
  <si>
    <t>Shape of the Woodland Prowler</t>
  </si>
  <si>
    <t>Cloak of Black Feathers</t>
  </si>
  <si>
    <t>Curse of Circe</t>
  </si>
  <si>
    <t>Stance of the Patient Tree</t>
  </si>
  <si>
    <t>Cloak of Mist</t>
  </si>
  <si>
    <t>Transform to Water</t>
  </si>
  <si>
    <t>The Silent Vigil</t>
  </si>
  <si>
    <t>Mists of Change</t>
  </si>
  <si>
    <t>Touch of the Goose Feather</t>
  </si>
  <si>
    <t>Invocation of Weariness</t>
  </si>
  <si>
    <t>Dust to Dust</t>
  </si>
  <si>
    <t>Grip of the Choking Hand</t>
  </si>
  <si>
    <t>The Wound that Weeps</t>
  </si>
  <si>
    <t>Bane of the Decrepit Body</t>
  </si>
  <si>
    <t>Incantation of the Milky Eyes</t>
  </si>
  <si>
    <t>Twist of the Tongue</t>
  </si>
  <si>
    <t>Clenching Grasp of the Crushed Heart</t>
  </si>
  <si>
    <t>Curse of the Leprous Flesh</t>
  </si>
  <si>
    <t>The Kiss of Death</t>
  </si>
  <si>
    <t>Curse of the Unportended Plague</t>
  </si>
  <si>
    <t>Curse of the Unruly Tongue</t>
  </si>
  <si>
    <t>Rise of the Feathery Body</t>
  </si>
  <si>
    <t>Spasms of the Uncontrolled Hand</t>
  </si>
  <si>
    <t>Gift of the Frogs Legs</t>
  </si>
  <si>
    <t>Despair of the Quivering Manacles</t>
  </si>
  <si>
    <t>Endurance of the Berserkers</t>
  </si>
  <si>
    <t>Lifting the Dangling Puppet</t>
  </si>
  <si>
    <t>The Gift of Vigour</t>
  </si>
  <si>
    <t>Awaken the Slumbering Corpse</t>
  </si>
  <si>
    <t>Strings of the Unwilling Marionette</t>
  </si>
  <si>
    <t>Seven-League Stride</t>
  </si>
  <si>
    <t>The Leap of Homecoming</t>
  </si>
  <si>
    <t>The Walking Corpse</t>
  </si>
  <si>
    <t>Conjure the Sturdy Vine</t>
  </si>
  <si>
    <t>Trap of the Entwining Vines</t>
  </si>
  <si>
    <t>Wall of Thorns</t>
  </si>
  <si>
    <t>Str</t>
  </si>
  <si>
    <t>Wall of Living Wood</t>
  </si>
  <si>
    <t>Bridge of Wood</t>
  </si>
  <si>
    <t>The Bountiful Feast</t>
  </si>
  <si>
    <t>Probe Nature's Hidden Lore</t>
  </si>
  <si>
    <t>Intuition of the Forest</t>
  </si>
  <si>
    <t>Hunt for the Wild Herb</t>
  </si>
  <si>
    <t>Shriek of the Impending Shafts</t>
  </si>
  <si>
    <t>Converse with Plant and Tree</t>
  </si>
  <si>
    <t>Calling the Council of the Trees</t>
  </si>
  <si>
    <t>Transformation of the Thorny Staff</t>
  </si>
  <si>
    <t>Dance of the Staves</t>
  </si>
  <si>
    <t>Rope of Bronze</t>
  </si>
  <si>
    <t>Thaumaturgical Transformation of Plants to Iron</t>
  </si>
  <si>
    <t>Twist the Living Tree</t>
  </si>
  <si>
    <t>Piercing Shaft of Wood</t>
  </si>
  <si>
    <t>Stir the Slumbering Tree</t>
  </si>
  <si>
    <t>Curse of the Haunted Forest</t>
  </si>
  <si>
    <t>Curse of the Rotted Wood</t>
  </si>
  <si>
    <t>Wizard's Autumn</t>
  </si>
  <si>
    <t>Plant's Withering Bane</t>
  </si>
  <si>
    <t>The Great Rot</t>
  </si>
  <si>
    <t>Treading the Ashen Path</t>
  </si>
  <si>
    <t>Repel the Wooden Shafts</t>
  </si>
  <si>
    <t>Strike of the Angered Branch</t>
  </si>
  <si>
    <t>Tangle of Wood and Thorns</t>
  </si>
  <si>
    <t>Coils of the Entangling Plants</t>
  </si>
  <si>
    <t>Lord of the Trees</t>
  </si>
  <si>
    <t>The Treacherous Spear</t>
  </si>
  <si>
    <t>Freeing the Striding Tree</t>
  </si>
  <si>
    <t>Ward Against Faeries of the Wood</t>
  </si>
  <si>
    <t>Moonbeam</t>
  </si>
  <si>
    <t>Palm of Flame</t>
  </si>
  <si>
    <t>Heat of the Searing Forge</t>
  </si>
  <si>
    <t>Lamp Without Flame</t>
  </si>
  <si>
    <t>Flash of the Scarlet Flames</t>
  </si>
  <si>
    <t>Blade of the Virulent Flame</t>
  </si>
  <si>
    <t>Pilum of Fire</t>
  </si>
  <si>
    <t>Arc of Fiery Ribbons</t>
  </si>
  <si>
    <t>Ball of Abysmal Flame</t>
  </si>
  <si>
    <t>Circle of Encompassing Flames</t>
  </si>
  <si>
    <t>Shadows of Fires Past</t>
  </si>
  <si>
    <t>Tales of the Ashes</t>
  </si>
  <si>
    <t>Vision of Heat's Light</t>
  </si>
  <si>
    <t>Words of the Flickering Flame</t>
  </si>
  <si>
    <t>Eyes of the Flame</t>
  </si>
  <si>
    <t>The Many-Hued Conflagration</t>
  </si>
  <si>
    <t>Hornet Fire</t>
  </si>
  <si>
    <t>Show of the Flames and Smoke</t>
  </si>
  <si>
    <t>Prison of Flames</t>
  </si>
  <si>
    <t>Trapping the Fire</t>
  </si>
  <si>
    <t>Flames of Sculpted Ice</t>
  </si>
  <si>
    <t>Soothe the Raging Flames</t>
  </si>
  <si>
    <t>Winter's Icy Touch</t>
  </si>
  <si>
    <t>Conjuration of the Indubitable Cold</t>
  </si>
  <si>
    <t>Well Without Light</t>
  </si>
  <si>
    <t>Wizard's Eclipse</t>
  </si>
  <si>
    <t>Diam</t>
  </si>
  <si>
    <t>Tremulous Vault of the Torch's Flame</t>
  </si>
  <si>
    <t>Light Shaft of the Night</t>
  </si>
  <si>
    <t>Leap of the Fire</t>
  </si>
  <si>
    <t>Burst of the Sweeping Flames</t>
  </si>
  <si>
    <t>Ward Against Heat and Flames</t>
  </si>
  <si>
    <t>Phantasm of the Talking Head</t>
  </si>
  <si>
    <t>Phantasmal Animal</t>
  </si>
  <si>
    <t>Phantasmal Fire</t>
  </si>
  <si>
    <t>Phantasm of the Human Form</t>
  </si>
  <si>
    <t>The Shadow of Human Life</t>
  </si>
  <si>
    <t>Discern Own Illusions</t>
  </si>
  <si>
    <t>Summoning the Distant Image</t>
  </si>
  <si>
    <t>Discern the Images of Truth and Falsehood</t>
  </si>
  <si>
    <t>Taste of the Spices and Herbs</t>
  </si>
  <si>
    <t>Notes of a Delightful Sound</t>
  </si>
  <si>
    <t>Aura of Ennobled Presence</t>
  </si>
  <si>
    <t>Disguise of the Transformed Image</t>
  </si>
  <si>
    <t>Image Phantom</t>
  </si>
  <si>
    <t>Removal of the Conspicuous Sigil</t>
  </si>
  <si>
    <t>Taste of the Dulled Tongue</t>
  </si>
  <si>
    <t>Illusion of Cool Flames</t>
  </si>
  <si>
    <t>Invisibility of the Standing Wizard</t>
  </si>
  <si>
    <t>Silence of the Smothered Sound</t>
  </si>
  <si>
    <t>Veil of Invisibility</t>
  </si>
  <si>
    <t>Chamber of Invisibility</t>
  </si>
  <si>
    <t>Dispel the Phantom Image</t>
  </si>
  <si>
    <t>Illusion of the Shifted Image</t>
  </si>
  <si>
    <t>Wizard's Sidestep</t>
  </si>
  <si>
    <t>The Captive Voice</t>
  </si>
  <si>
    <t>Confusion of the Insane Vibrations</t>
  </si>
  <si>
    <t>Haunt of the Living Ghost</t>
  </si>
  <si>
    <t>Image from the Wizard Torn</t>
  </si>
  <si>
    <t>Illusion of the Misplaced Castle</t>
  </si>
  <si>
    <t>Restore the Moved Image</t>
  </si>
  <si>
    <t>Words of the Unbroken Silence</t>
  </si>
  <si>
    <t>Panic of the Trembling Heart</t>
  </si>
  <si>
    <t>Rising Ire</t>
  </si>
  <si>
    <t>Memory of the Distant Dream</t>
  </si>
  <si>
    <t>Pains of the Perpetual Worry</t>
  </si>
  <si>
    <t>Gift of Reason</t>
  </si>
  <si>
    <t>Weight of a Thousand Hells</t>
  </si>
  <si>
    <t>Sight of the Transparent Motive</t>
  </si>
  <si>
    <t>Perception of the Conflicting Motives</t>
  </si>
  <si>
    <t>Frosty Breath of the Spoken Lie</t>
  </si>
  <si>
    <t>Posing the Silent Question</t>
  </si>
  <si>
    <t>Thoughts Within Babble</t>
  </si>
  <si>
    <t>Peering into the Mortal Mind</t>
  </si>
  <si>
    <t>Enchantment of Detachment</t>
  </si>
  <si>
    <t>Recollection of Memories Never Quite Lived</t>
  </si>
  <si>
    <t>Mind of the Beast</t>
  </si>
  <si>
    <t>Tip of the Tongue</t>
  </si>
  <si>
    <t>Loss of But a Moment's Memory</t>
  </si>
  <si>
    <t>Trust of Childlike Faith</t>
  </si>
  <si>
    <t>Calm the Motion of the Heart</t>
  </si>
  <si>
    <t>Blessing of Childlike Bliss</t>
  </si>
  <si>
    <t>Passion's Lost Feeling</t>
  </si>
  <si>
    <t>Black Whisper</t>
  </si>
  <si>
    <t>Poisoning the Will</t>
  </si>
  <si>
    <t>Lay to Rest the Haunting Spirit</t>
  </si>
  <si>
    <t>Snap of Awakening</t>
  </si>
  <si>
    <t>The Call to Slumber</t>
  </si>
  <si>
    <t>Confusion of the Numbed Will</t>
  </si>
  <si>
    <t>Scent of Peaceful Slumber</t>
  </si>
  <si>
    <t>Aura of Rightful Authority</t>
  </si>
  <si>
    <t>Incantation of Summoning the Dead</t>
  </si>
  <si>
    <t>Enslave the Mortal Mind</t>
  </si>
  <si>
    <t>The Shrouded Glen</t>
  </si>
  <si>
    <t>Exchange of the Two Minds</t>
  </si>
  <si>
    <t>Coerce the Spirits of the Night</t>
  </si>
  <si>
    <t>Ring of Warding Against Spirits</t>
  </si>
  <si>
    <t>Seal the Earth</t>
  </si>
  <si>
    <t>Wall of Protecting Stone</t>
  </si>
  <si>
    <t>Conjuring the Mystic Tower</t>
  </si>
  <si>
    <t>Probe for Pure Silver</t>
  </si>
  <si>
    <t>Eyes of the Eons</t>
  </si>
  <si>
    <t>Eyes of the Treacherous Terrain</t>
  </si>
  <si>
    <t>The Miner's Keen Eye</t>
  </si>
  <si>
    <t>Tracks of the Faerie Glow</t>
  </si>
  <si>
    <t>Sense the Feet that Tread the Earth</t>
  </si>
  <si>
    <t>Stone tell of the Mind that Sits</t>
  </si>
  <si>
    <t>Supple Iron and Rigid Rope</t>
  </si>
  <si>
    <t>Edge of the Razor</t>
  </si>
  <si>
    <t>Object of Increased Size</t>
  </si>
  <si>
    <t>The Crystal Dart</t>
  </si>
  <si>
    <t>Rock of Viscid Clay</t>
  </si>
  <si>
    <t>The Forgiving Earth</t>
  </si>
  <si>
    <t>Unyielding Earth</t>
  </si>
  <si>
    <t>Earth that Breaks No More</t>
  </si>
  <si>
    <t>Teeth of the Earth Mother</t>
  </si>
  <si>
    <t>Fist of Shattering</t>
  </si>
  <si>
    <t>Rusted Decay of Ten-Score Years</t>
  </si>
  <si>
    <t>Obliteration of the Metallic Barrier</t>
  </si>
  <si>
    <t>Pit of the Gaping Earth</t>
  </si>
  <si>
    <t>Stone Falling to Dust</t>
  </si>
  <si>
    <t>Cascade of Rocks</t>
  </si>
  <si>
    <t>Unseen Arm</t>
  </si>
  <si>
    <t>Trackless Step</t>
  </si>
  <si>
    <t>Wielding the Invisible Sling</t>
  </si>
  <si>
    <t>Hands of the Grasping Earth</t>
  </si>
  <si>
    <t>The Earth's Carbuncle</t>
  </si>
  <si>
    <t>Crest of the Earth Wave</t>
  </si>
  <si>
    <t>Earth Shock</t>
  </si>
  <si>
    <t>The Earth Split Asunder</t>
  </si>
  <si>
    <t>Creeping Chasm</t>
  </si>
  <si>
    <t>Hermes' Portal</t>
  </si>
  <si>
    <t>Ward Against Faeries of the Mountain</t>
  </si>
  <si>
    <t>The Phantom Gift</t>
  </si>
  <si>
    <t>Shell of Opaque Mysteries</t>
  </si>
  <si>
    <t>Shell of the False Determinations</t>
  </si>
  <si>
    <t>Scales of the Magical Weight</t>
  </si>
  <si>
    <t>Sense the Nature of Vis</t>
  </si>
  <si>
    <t>Sight of the Active Magics</t>
  </si>
  <si>
    <t>The Invisible Eye Revealed</t>
  </si>
  <si>
    <t>Gather the Essence of the Beast</t>
  </si>
  <si>
    <t>Mirror of Opposition (Form)</t>
  </si>
  <si>
    <t>Shroud Magic</t>
  </si>
  <si>
    <t>The Sorcerer's Fork</t>
  </si>
  <si>
    <t>The Wizard's Boost (Form)</t>
  </si>
  <si>
    <t>Wizard's Communion</t>
  </si>
  <si>
    <t>Demon's Eternal Oblivion</t>
  </si>
  <si>
    <t>Disenchant</t>
  </si>
  <si>
    <t>Masking the Odour of Magic</t>
  </si>
  <si>
    <t>Wind of Mundane Silence</t>
  </si>
  <si>
    <t>Aegis of the Hearth</t>
  </si>
  <si>
    <t>Circular Ward Against Demons</t>
  </si>
  <si>
    <t>Maintaining the Demanding Spell</t>
  </si>
  <si>
    <t>Opening the Intangible Tunnel</t>
  </si>
  <si>
    <t>Supressing the Wizard's Handiwork</t>
  </si>
  <si>
    <t>Watching Ward</t>
  </si>
  <si>
    <t>Style</t>
  </si>
  <si>
    <t>Eff Rn</t>
  </si>
  <si>
    <t>2H?</t>
  </si>
  <si>
    <t>Qui</t>
  </si>
  <si>
    <t>Dex</t>
  </si>
  <si>
    <t>Str+Siz</t>
  </si>
  <si>
    <t>(y)</t>
  </si>
  <si>
    <t>standard</t>
  </si>
  <si>
    <t>expensive</t>
  </si>
  <si>
    <t>inexpen</t>
  </si>
  <si>
    <t>Sap</t>
  </si>
  <si>
    <t>Single Weapon</t>
  </si>
  <si>
    <t>Morningstar</t>
  </si>
  <si>
    <t>2H</t>
  </si>
  <si>
    <t>Two Weapons</t>
  </si>
  <si>
    <t>Cloak &amp; Dagger</t>
  </si>
  <si>
    <t>Great Weapon</t>
  </si>
  <si>
    <t>Thrown Weapons</t>
  </si>
  <si>
    <t>~~~</t>
  </si>
  <si>
    <t>none</t>
  </si>
  <si>
    <t>Bows</t>
  </si>
  <si>
    <t>Sword, Short &amp; Dagger</t>
  </si>
  <si>
    <t>Base Level</t>
  </si>
  <si>
    <t>Size</t>
  </si>
  <si>
    <t>Ranges</t>
  </si>
  <si>
    <t>Eye</t>
  </si>
  <si>
    <t>Durations</t>
  </si>
  <si>
    <t>Part</t>
  </si>
  <si>
    <t>Duration</t>
  </si>
  <si>
    <t>Total Mods</t>
  </si>
  <si>
    <t>True Rest of the Injured Brute</t>
  </si>
  <si>
    <t>Voice</t>
  </si>
  <si>
    <t>The Wizard's Mount</t>
  </si>
  <si>
    <t>Special</t>
  </si>
  <si>
    <t>Taste</t>
  </si>
  <si>
    <t>Smell</t>
  </si>
  <si>
    <t>Vision</t>
  </si>
  <si>
    <t>Hearing</t>
  </si>
  <si>
    <t>Doublet of Impenetrable Silk</t>
  </si>
  <si>
    <t>Beast of Miniscule Proportions</t>
  </si>
  <si>
    <t>Blunt the Viper's Fangs</t>
  </si>
  <si>
    <t>Clear Sight of the Naiad</t>
  </si>
  <si>
    <t>Comfort of the Drenched Traveler</t>
  </si>
  <si>
    <t>Closing the Earth's Gate</t>
  </si>
  <si>
    <t>Ward</t>
  </si>
  <si>
    <t>Ward Against Rain</t>
  </si>
  <si>
    <t>Clouds of Thunderous Might</t>
  </si>
  <si>
    <t>Purification of the Festering Wounds</t>
  </si>
  <si>
    <t>Cheating the Reaper</t>
  </si>
  <si>
    <t>WhisPer through the Black Gate</t>
  </si>
  <si>
    <t>No Words</t>
  </si>
  <si>
    <t>Pass the Unyielding Portal</t>
  </si>
  <si>
    <t>Ward Against Wood</t>
  </si>
  <si>
    <t>Coat of Flame</t>
  </si>
  <si>
    <t>Gloom of Evening</t>
  </si>
  <si>
    <t>Wizard's Icy Grip</t>
  </si>
  <si>
    <t>Prying Eyes</t>
  </si>
  <si>
    <t>The Ear for Distant Voices</t>
  </si>
  <si>
    <t>Eyes of the Eagle</t>
  </si>
  <si>
    <t>Past of Another</t>
  </si>
  <si>
    <t>Inmost Companion</t>
  </si>
  <si>
    <t>Vision of the Haunting Spirits</t>
  </si>
  <si>
    <t>Visions of the Infernal Terrors</t>
  </si>
  <si>
    <t>Touch of Midas</t>
  </si>
  <si>
    <t>End of the Mighty Castle</t>
  </si>
  <si>
    <t>The Unseen Porter</t>
  </si>
  <si>
    <t>The Enigma's Gift</t>
  </si>
  <si>
    <t>Sense of Magical Power</t>
  </si>
  <si>
    <t>Piercing the Faerie Veil</t>
  </si>
  <si>
    <t>Piercing the Divine Veil</t>
  </si>
  <si>
    <t>Piercing the Infernal Veil</t>
  </si>
  <si>
    <t>Piercing the Magical Veil</t>
  </si>
  <si>
    <t>Sense of the Lingering Magic</t>
  </si>
  <si>
    <t>Unravelling the Fabric of (Form)</t>
  </si>
  <si>
    <t>+9 bonus to recovery rolls while in effect</t>
  </si>
  <si>
    <t>5 paces x 5 paces x 6 ft high, Strength stress 12+ to escape</t>
  </si>
  <si>
    <t>Per + Finesse of 6+ to 12+ to find out specific information</t>
  </si>
  <si>
    <t>Size +1, Damage +2, wound range +1, Defense -1</t>
  </si>
  <si>
    <t>Soak +3</t>
  </si>
  <si>
    <t>Four times larger, increases poison intensity, target size -9</t>
  </si>
  <si>
    <t>Size -2, Damage -4, wound range -2,  Defense +2</t>
  </si>
  <si>
    <t>Attack +5, Damage +5, Stamina stress 9+ or dies at end</t>
  </si>
  <si>
    <t>Stam + size of 9+ to do anything</t>
  </si>
  <si>
    <t>1/2 damage, treat as light wound, size limit +4</t>
  </si>
  <si>
    <t>Heals as medium wound</t>
  </si>
  <si>
    <t>Size stress roll of 9+ to resist</t>
  </si>
  <si>
    <t>Viper's Gaze</t>
  </si>
  <si>
    <t>Size +4 or less</t>
  </si>
  <si>
    <t>+10 damage, Strength + size + stress of 9+ or knocked back</t>
  </si>
  <si>
    <t>+10 damage, Strength + swim 9+ to escape or lose fatigue +5 damage</t>
  </si>
  <si>
    <t>+10 damage</t>
  </si>
  <si>
    <t>+15 damage, drink or die, requisites for target</t>
  </si>
  <si>
    <t>Swim at -6, 20 paces across</t>
  </si>
  <si>
    <t>5 paces wide at bottom</t>
  </si>
  <si>
    <t>10 paces across, +15 damage, -6 swim, +2 botch dice</t>
  </si>
  <si>
    <t>Strength + swim 9+ to avoid being dragged down each round</t>
  </si>
  <si>
    <t>+15 damage, Qui stress 6+ or sucked in and 20+ feet up</t>
  </si>
  <si>
    <t>Stam stress 9+ or deaf, recover on stam 9+ unless first botched</t>
  </si>
  <si>
    <t>Stam stress 6+ or -3 on actions, botch incap 10-stam rounds</t>
  </si>
  <si>
    <t>Stam 3+ or lose fatigue, progress to light wounds after unconscious</t>
  </si>
  <si>
    <t>Size stress 9+, if braced, can also resist with Strength stress 9+</t>
  </si>
  <si>
    <t>Dex + size stress 9+, march against Str + size 15+</t>
  </si>
  <si>
    <t>Size stress 9+ to move in, melee -3, missile -9</t>
  </si>
  <si>
    <t>50 ft up, finesse ease factor 12 to target falling objects</t>
  </si>
  <si>
    <t>40 mph, finesse ease factor 9 to hover</t>
  </si>
  <si>
    <t>+30 damage, nearby require size stress 6+ to remain standing</t>
  </si>
  <si>
    <t>40 miles wide</t>
  </si>
  <si>
    <t>+0 damage</t>
  </si>
  <si>
    <t>+5 damage</t>
  </si>
  <si>
    <t>+25 damage</t>
  </si>
  <si>
    <t>-3 physical actions, Stam 6+ or lose fatigue</t>
  </si>
  <si>
    <t>Heals one light wound (not from poison or disease)</t>
  </si>
  <si>
    <t>Heals one light wound (only from poison or disease)</t>
  </si>
  <si>
    <t>+9 to recovery rolls</t>
  </si>
  <si>
    <t>heals extra effects, not wounds</t>
  </si>
  <si>
    <t>Resolves major aging crisis, causes warping</t>
  </si>
  <si>
    <t>Heals all wounds (not from poison or disease)</t>
  </si>
  <si>
    <t>see text (complex)</t>
  </si>
  <si>
    <t>Per + Medicine to identify rare diseases</t>
  </si>
  <si>
    <t>Size +1, -1, or -2</t>
  </si>
  <si>
    <t>+3 soak, -1 to actions requiring a sensitive touch</t>
  </si>
  <si>
    <t>wolf skin required</t>
  </si>
  <si>
    <t>cape of raven feathers required</t>
  </si>
  <si>
    <t>tree branch required</t>
  </si>
  <si>
    <t>The original version of this character sheet was created by Neil Taylor for the Saxum Caribetum saga http://www.quantal.demon.co.uk/saga/</t>
  </si>
  <si>
    <t>This version was edited from the original to bring it in line with 5th edition by Edward Campbell</t>
  </si>
  <si>
    <t>Int + conc 12+ to maintain concentration</t>
  </si>
  <si>
    <t>Causes a light wound</t>
  </si>
  <si>
    <t>Causes a fatigue level loss</t>
  </si>
  <si>
    <t>Target ages 5 years, does not work on children under 16</t>
  </si>
  <si>
    <t>Causes a fatigue level loss each round</t>
  </si>
  <si>
    <t>Heals as a heavy wound</t>
  </si>
  <si>
    <t>Heals as a medium wound</t>
  </si>
  <si>
    <t>Ars Magica is a role playing game, created by Jonathan Tweet and Mark Rein-Hagen. It is currently owned and distributed by Atlas Games.</t>
  </si>
  <si>
    <t>-3 to communication, -6 to spoken spells</t>
  </si>
  <si>
    <t>-3 to physical actions, -1 to most others</t>
  </si>
  <si>
    <t>Max consecutive castings = size + 2</t>
  </si>
  <si>
    <t>15 ft vertical or 25 ft horizontal, dex - enc 0+ or injured on landing</t>
  </si>
  <si>
    <t>Target size +1</t>
  </si>
  <si>
    <t>Int + finesse 9+ or slight mishap on arrival</t>
  </si>
  <si>
    <t>10 paces of vine, requires moderate amount of wood or fertile soil</t>
  </si>
  <si>
    <t>2 paces across, 6 ft high, qui - enc 9+ to avoid, str 12+ to break outrrr</t>
  </si>
  <si>
    <t>20 paces long, 5 wide, supports up to size +4</t>
  </si>
  <si>
    <t>20 paces long, 5 high, 1 thick</t>
  </si>
  <si>
    <t>+9 defense</t>
  </si>
  <si>
    <t>adds +4 to the staff damage</t>
  </si>
  <si>
    <t>staff is +10 damage, branch +8, wand +5</t>
  </si>
  <si>
    <t>10 paces in front, 5 to either side, walk 7 miles</t>
  </si>
  <si>
    <t>+4 damage</t>
  </si>
  <si>
    <t>Attack is Per + finesse, +10 damage</t>
  </si>
  <si>
    <t>Str 9+ to break out, if thorns, causes +6 damage</t>
  </si>
  <si>
    <t>Str 9+ to break out</t>
  </si>
  <si>
    <t>Init +5, Attack +7, Damage +10, most normal weapons useless</t>
  </si>
  <si>
    <t>may be cast on an item</t>
  </si>
  <si>
    <t>double damage or +5 to damage (whichever is greater)</t>
  </si>
  <si>
    <t>Stm 9+ or blind, botch makes permanent</t>
  </si>
  <si>
    <t>+15 damage</t>
  </si>
  <si>
    <t>60 degree arc, voice distance, +10 damage</t>
  </si>
  <si>
    <t>+5 damage per round (20 rounds)</t>
  </si>
  <si>
    <t>+30 damage</t>
  </si>
  <si>
    <t>+20 damage, may change radius from pillar to 3 paces</t>
  </si>
  <si>
    <t>Stm 6+ or blind for one round</t>
  </si>
  <si>
    <t>7 paces from fire, all at -3 on all rolls, +2 botch dice</t>
  </si>
  <si>
    <t>+15 damage if try to escape</t>
  </si>
  <si>
    <t>Causes loss of one fatigue level</t>
  </si>
  <si>
    <t>+20 damage, ignore armor</t>
  </si>
  <si>
    <t>+5 to +15 damage</t>
  </si>
  <si>
    <t>+15 soak</t>
  </si>
  <si>
    <t>+3 to influence, lead, or convince others</t>
  </si>
  <si>
    <t>+9 to defense, first attack misses</t>
  </si>
  <si>
    <t>-3 to attack and defense, +2 botch dice</t>
  </si>
  <si>
    <t>2 words</t>
  </si>
  <si>
    <t>Personality trait stress roll 9+ to hold in check</t>
  </si>
  <si>
    <t>Int roll 9+ to detect as false</t>
  </si>
  <si>
    <t>-5 personality rolls, -2 on thought or concentration rolls</t>
  </si>
  <si>
    <t>+1 int, max 0</t>
  </si>
  <si>
    <t>Com + Guile 15+ to figure out if statement will trigger spell</t>
  </si>
  <si>
    <t>Int + Conc 9+ to remember word after spell expires.</t>
  </si>
  <si>
    <t>Int stress 6+ to resist</t>
  </si>
  <si>
    <t>Int stress 9+ to relize there is a loss.</t>
  </si>
  <si>
    <t>Stm stress 15+ or go insane.</t>
  </si>
  <si>
    <t>-3 to personality rolls while in the area</t>
  </si>
  <si>
    <t>Int roll 9+ to act, 12+ ends spell, -1 attack, -1 defense, acts last</t>
  </si>
  <si>
    <t>Com + Leadership to determine effectiveness of threats</t>
  </si>
  <si>
    <t>6 paces across 3 paces deep</t>
  </si>
  <si>
    <t>80 lb gold</t>
  </si>
  <si>
    <t>25 paces wide, 4 paces high, 1 pace thick</t>
  </si>
  <si>
    <t>80 ft high, 30 ft wide, foundation 20 ft into the ground</t>
  </si>
  <si>
    <t>accurate to within 10%</t>
  </si>
  <si>
    <t>3 pace depth</t>
  </si>
  <si>
    <t>+2 damage</t>
  </si>
  <si>
    <t>100 cubic paces</t>
  </si>
  <si>
    <t>+25 damage, more complex uses, see text</t>
  </si>
  <si>
    <t>6 paces across 9 paces deep</t>
  </si>
  <si>
    <t>+10 damage one pace of opposite side</t>
  </si>
  <si>
    <t>+10 damage if inside</t>
  </si>
  <si>
    <t>Up to +5 damage</t>
  </si>
  <si>
    <t>Str stress 15+ to escape, destroy w/ light wound +25 soak</t>
  </si>
  <si>
    <t>15 paces by 15 paces</t>
  </si>
  <si>
    <t>Adds 4 warping points, magus checks for twilight</t>
  </si>
  <si>
    <t>Native Language 5</t>
  </si>
  <si>
    <t>First 5 xp</t>
  </si>
  <si>
    <t>Wealthy multiplier</t>
  </si>
  <si>
    <t>Magus gauntlet xp</t>
  </si>
  <si>
    <t>Magus gauntlet spells</t>
  </si>
  <si>
    <t>Magus multipier</t>
  </si>
  <si>
    <t>/</t>
  </si>
  <si>
    <t>名前</t>
  </si>
  <si>
    <t>プレイヤー</t>
  </si>
  <si>
    <t>年齢/外見年齢</t>
  </si>
  <si>
    <t>自信度/自信値</t>
  </si>
  <si>
    <t>サガ</t>
  </si>
  <si>
    <t>タイプ</t>
  </si>
  <si>
    <t>生年 / 現在年</t>
  </si>
  <si>
    <t>性格</t>
  </si>
  <si>
    <t>値</t>
  </si>
  <si>
    <t>：</t>
  </si>
  <si>
    <t>評判（対象）</t>
  </si>
  <si>
    <t>専門</t>
  </si>
  <si>
    <t>老衰値</t>
  </si>
  <si>
    <t>【知性】</t>
  </si>
  <si>
    <t>【知覚】</t>
  </si>
  <si>
    <t>【魅力】</t>
  </si>
  <si>
    <t>【交渉】</t>
  </si>
  <si>
    <t>【筋力】</t>
  </si>
  <si>
    <t>【体力】</t>
  </si>
  <si>
    <t>【器用】</t>
  </si>
  <si>
    <t>【反応】</t>
  </si>
  <si>
    <t xml:space="preserve"> /</t>
  </si>
  <si>
    <t>コスト</t>
  </si>
  <si>
    <t>exp.</t>
  </si>
  <si>
    <t>元気</t>
  </si>
  <si>
    <t>気絶</t>
  </si>
  <si>
    <t>息切れ</t>
  </si>
  <si>
    <t>疲れた</t>
  </si>
  <si>
    <t>朦朧</t>
  </si>
  <si>
    <t>疲労度</t>
  </si>
  <si>
    <t>へとへと</t>
  </si>
  <si>
    <t>修正</t>
  </si>
  <si>
    <t>歪曲度/歪曲値</t>
  </si>
  <si>
    <t>耐久度</t>
  </si>
  <si>
    <t>∞</t>
  </si>
  <si>
    <t>負傷</t>
  </si>
  <si>
    <t>数</t>
  </si>
  <si>
    <t>軽傷</t>
  </si>
  <si>
    <t>中傷</t>
  </si>
  <si>
    <t>重傷</t>
  </si>
  <si>
    <t>危篤</t>
  </si>
  <si>
    <t>死亡</t>
  </si>
  <si>
    <t>回復</t>
  </si>
  <si>
    <t>2分</t>
  </si>
  <si>
    <t>10分</t>
  </si>
  <si>
    <t>30分</t>
  </si>
  <si>
    <t>60分</t>
  </si>
  <si>
    <t>120分～</t>
  </si>
  <si>
    <t>ダメージ</t>
  </si>
  <si>
    <t>○ ○ ○ ○ ○</t>
  </si>
  <si>
    <t>○</t>
  </si>
  <si>
    <t>技能</t>
  </si>
  <si>
    <t>○</t>
  </si>
  <si>
    <t>〈技能〉</t>
  </si>
  <si>
    <t>【特性値】</t>
  </si>
  <si>
    <t>《美点と欠点》</t>
  </si>
  <si>
    <t>格闘</t>
  </si>
  <si>
    <t>武器</t>
  </si>
  <si>
    <t>防御値</t>
  </si>
  <si>
    <t>攻撃値</t>
  </si>
  <si>
    <t>ダメージ値</t>
  </si>
  <si>
    <t>射程</t>
  </si>
  <si>
    <t>重量</t>
  </si>
  <si>
    <t>先制値</t>
  </si>
  <si>
    <t>使用技能</t>
  </si>
  <si>
    <r>
      <t>格闘</t>
    </r>
    <r>
      <rPr>
        <sz val="10"/>
        <rFont val="Times New Roman"/>
        <family val="1"/>
      </rPr>
      <t>/</t>
    </r>
    <r>
      <rPr>
        <sz val="10"/>
        <rFont val="ＭＳ Ｐ明朝"/>
        <family val="1"/>
      </rPr>
      <t>回避</t>
    </r>
  </si>
  <si>
    <t>回避</t>
  </si>
  <si>
    <t>拳</t>
  </si>
  <si>
    <t>蹴り</t>
  </si>
  <si>
    <t>籠手</t>
  </si>
  <si>
    <t>棍棒</t>
  </si>
  <si>
    <t>ナイフ</t>
  </si>
  <si>
    <t>ダガー</t>
  </si>
  <si>
    <t>クラブ</t>
  </si>
  <si>
    <t>ハチェット</t>
  </si>
  <si>
    <t>ランス</t>
  </si>
  <si>
    <t>メイス</t>
  </si>
  <si>
    <t>モーニングスター</t>
  </si>
  <si>
    <t>ショートスピア</t>
  </si>
  <si>
    <t>ショートソード</t>
  </si>
  <si>
    <t>ロングソード</t>
  </si>
  <si>
    <t>バックラー</t>
  </si>
  <si>
    <t>ラウンドシールド</t>
  </si>
  <si>
    <t>ヒーターシールド</t>
  </si>
  <si>
    <t>農具</t>
  </si>
  <si>
    <t>フレイル</t>
  </si>
  <si>
    <t>ポールアーム</t>
  </si>
  <si>
    <t>ポールアックス</t>
  </si>
  <si>
    <t>ロングスピア</t>
  </si>
  <si>
    <t>グレートソード</t>
  </si>
  <si>
    <t>スタッフ</t>
  </si>
  <si>
    <t>ウォーハンマー</t>
  </si>
  <si>
    <t>アックス</t>
  </si>
  <si>
    <t>アックス＆バックラー</t>
  </si>
  <si>
    <t>クラブ＆バックラー</t>
  </si>
  <si>
    <t>ハチェット＆バックラー</t>
  </si>
  <si>
    <t>ランス＆バックラー</t>
  </si>
  <si>
    <t>メイス＆バックラー</t>
  </si>
  <si>
    <t>モーニングスター＆バックラー</t>
  </si>
  <si>
    <t>ショートスピア＆バックラー</t>
  </si>
  <si>
    <t>ショートソード＆バックラー</t>
  </si>
  <si>
    <t>ロングソード＆バックラー</t>
  </si>
  <si>
    <t>アックス＆ラウンドシールド</t>
  </si>
  <si>
    <t>クラブ＆ラウンドシールド</t>
  </si>
  <si>
    <t>ハチェット＆ラウンドシールド</t>
  </si>
  <si>
    <t>ランス＆ラウンドシールド</t>
  </si>
  <si>
    <t>メイス＆ラウンドシールド</t>
  </si>
  <si>
    <t>モーニングスター＆ラウンドシールド</t>
  </si>
  <si>
    <t>ショートスピア＆ラウンドシールド</t>
  </si>
  <si>
    <t>ショートソード＆ラウンドシールド</t>
  </si>
  <si>
    <t>ロングソード＆ラウンドシールド</t>
  </si>
  <si>
    <t>アックス＆ヒーターシールド</t>
  </si>
  <si>
    <t>クラブ＆ヒーターシールド</t>
  </si>
  <si>
    <t>ハチェット＆ヒーターシールド</t>
  </si>
  <si>
    <t>ランス＆ヒーターシールド</t>
  </si>
  <si>
    <t>メイス＆ヒーターシールド</t>
  </si>
  <si>
    <t>モーニングスター＆ヒーターシールド</t>
  </si>
  <si>
    <t>ショートスピア＆ヒーターシールド</t>
  </si>
  <si>
    <t>ショートソード＆ヒーターシールド</t>
  </si>
  <si>
    <t>ロングソード＆ヒーターシールド</t>
  </si>
  <si>
    <t>アックス＆タワーシールド</t>
  </si>
  <si>
    <t>タワーシールド</t>
  </si>
  <si>
    <t>クラブ＆タワーシールド</t>
  </si>
  <si>
    <t>ハチェット＆タワーシールド</t>
  </si>
  <si>
    <t>ランス＆タワーシールド</t>
  </si>
  <si>
    <t>メイス＆タワーシールド</t>
  </si>
  <si>
    <t>モーニングスター＆タワーシールド</t>
  </si>
  <si>
    <t>ショートスピア＆タワーシールド</t>
  </si>
  <si>
    <t>ショートソード＆タワーシールド</t>
  </si>
  <si>
    <t>ロングソード＆タワーシールド</t>
  </si>
  <si>
    <t>斧投げ</t>
  </si>
  <si>
    <t>ジャベリン</t>
  </si>
  <si>
    <t>ナイフ投げ</t>
  </si>
  <si>
    <t>スリング</t>
  </si>
  <si>
    <t>投石</t>
  </si>
  <si>
    <t>ショートボウ</t>
  </si>
  <si>
    <t>ロングボウ</t>
  </si>
  <si>
    <t>持ち物</t>
  </si>
  <si>
    <t>防具</t>
  </si>
  <si>
    <t>材質と部位</t>
  </si>
  <si>
    <t>装甲/重量</t>
  </si>
  <si>
    <t>持ち物の重量</t>
  </si>
  <si>
    <t>合計重量</t>
  </si>
  <si>
    <t>疲労判定（難易度6）</t>
  </si>
  <si>
    <t>格闘/回避</t>
  </si>
  <si>
    <t>大型クラブ</t>
  </si>
  <si>
    <t>荷重（戦闘用）</t>
  </si>
  <si>
    <t>荷重（通常用）</t>
  </si>
  <si>
    <t>吸収値</t>
  </si>
  <si>
    <t>近接</t>
  </si>
  <si>
    <t>技法</t>
  </si>
  <si>
    <t>形相</t>
  </si>
  <si>
    <t>Creo</t>
  </si>
  <si>
    <t>Perdo</t>
  </si>
  <si>
    <t>Rego</t>
  </si>
  <si>
    <t>クレオー</t>
  </si>
  <si>
    <t>インテルレゴー</t>
  </si>
  <si>
    <t>ムートー</t>
  </si>
  <si>
    <t>ペルドー</t>
  </si>
  <si>
    <t>レゴー</t>
  </si>
  <si>
    <t>Intellego</t>
  </si>
  <si>
    <t>Muto</t>
  </si>
  <si>
    <t>Animal</t>
  </si>
  <si>
    <t>Aquam</t>
  </si>
  <si>
    <t>Auram</t>
  </si>
  <si>
    <t>Corpus</t>
  </si>
  <si>
    <t>Herbam</t>
  </si>
  <si>
    <t>Ignem</t>
  </si>
  <si>
    <t>Imaginem</t>
  </si>
  <si>
    <t>Mentem</t>
  </si>
  <si>
    <t>Terram</t>
  </si>
  <si>
    <t>Vim</t>
  </si>
  <si>
    <t>アニマル</t>
  </si>
  <si>
    <t>アクワム</t>
  </si>
  <si>
    <t>アウラム</t>
  </si>
  <si>
    <t>コルプス</t>
  </si>
  <si>
    <t>ヘルバム</t>
  </si>
  <si>
    <t>イグネム</t>
  </si>
  <si>
    <t>イマーギネム</t>
  </si>
  <si>
    <t>メンテム</t>
  </si>
  <si>
    <t>テルラム</t>
  </si>
  <si>
    <t>ウィム</t>
  </si>
  <si>
    <t>（動物ヲ）</t>
  </si>
  <si>
    <t>（水ヲ）</t>
  </si>
  <si>
    <t>（大気ヲ）</t>
  </si>
  <si>
    <t>（人体ヲ）</t>
  </si>
  <si>
    <t>（植物ヲ）</t>
  </si>
  <si>
    <t>（火ヲ）</t>
  </si>
  <si>
    <t>（感覚ヲ）</t>
  </si>
  <si>
    <t>（精神ヲ）</t>
  </si>
  <si>
    <t>（大地ヲ）</t>
  </si>
  <si>
    <t>（魔力ヲ）</t>
  </si>
  <si>
    <t>（ワレ創ル）</t>
  </si>
  <si>
    <t>（ワレ識ル）</t>
  </si>
  <si>
    <t>（ワレ変ズ）</t>
  </si>
  <si>
    <t>（ワレ滅ス）</t>
  </si>
  <si>
    <t>（ワレ操ル）</t>
  </si>
  <si>
    <r>
      <t>メモ</t>
    </r>
    <r>
      <rPr>
        <sz val="14"/>
        <rFont val="ＭＳ Ｐ明朝"/>
        <family val="1"/>
      </rPr>
      <t>・</t>
    </r>
    <r>
      <rPr>
        <sz val="14"/>
        <rFont val="ＦＡ 教科書Ｍ"/>
        <family val="3"/>
      </rPr>
      <t>使い魔</t>
    </r>
    <r>
      <rPr>
        <sz val="14"/>
        <rFont val="ＭＳ Ｐ明朝"/>
        <family val="1"/>
      </rPr>
      <t>・</t>
    </r>
    <r>
      <rPr>
        <sz val="14"/>
        <rFont val="ＦＡ 教科書Ｍ"/>
        <family val="3"/>
      </rPr>
      <t>徒弟など</t>
    </r>
  </si>
  <si>
    <t>老衰度</t>
  </si>
  <si>
    <t>老衰値の合計</t>
  </si>
  <si>
    <t>残pt</t>
  </si>
  <si>
    <t>サイズ</t>
  </si>
  <si>
    <t>性別</t>
  </si>
  <si>
    <t>消費pt</t>
  </si>
  <si>
    <t>術法</t>
  </si>
  <si>
    <t>総計</t>
  </si>
  <si>
    <t>魔法抵抗</t>
  </si>
  <si>
    <t>ラテン語</t>
  </si>
  <si>
    <t>集中力</t>
  </si>
  <si>
    <t>自由学科</t>
  </si>
  <si>
    <t>認識</t>
  </si>
  <si>
    <r>
      <t>C</t>
    </r>
    <r>
      <rPr>
        <i/>
        <sz val="10"/>
        <rFont val="Times New Roman"/>
        <family val="1"/>
      </rPr>
      <t>asting base score</t>
    </r>
  </si>
  <si>
    <r>
      <t>L</t>
    </r>
    <r>
      <rPr>
        <i/>
        <sz val="10"/>
        <rFont val="Times New Roman"/>
        <family val="1"/>
      </rPr>
      <t>ab base score</t>
    </r>
  </si>
  <si>
    <t>exp.</t>
  </si>
  <si>
    <t>/</t>
  </si>
  <si>
    <t>/</t>
  </si>
  <si>
    <t>Touch</t>
  </si>
  <si>
    <t>射：</t>
  </si>
  <si>
    <t>時:</t>
  </si>
  <si>
    <t>対:</t>
  </si>
  <si>
    <t>習熟</t>
  </si>
  <si>
    <t>(</t>
  </si>
  <si>
    <t>)</t>
  </si>
  <si>
    <t>熟</t>
  </si>
  <si>
    <t>術</t>
  </si>
  <si>
    <t>行使/突破</t>
  </si>
  <si>
    <t>+</t>
  </si>
  <si>
    <t>の呪文書</t>
  </si>
  <si>
    <t>呪文Lv.</t>
  </si>
  <si>
    <t>呪文習熟</t>
  </si>
  <si>
    <t>小計</t>
  </si>
  <si>
    <t>1～5</t>
  </si>
  <si>
    <t>6～10</t>
  </si>
  <si>
    <t>11～15</t>
  </si>
  <si>
    <t>16～20</t>
  </si>
  <si>
    <t>21～</t>
  </si>
  <si>
    <t>This version was wholly remade of the version of E.Cambell for Japanese users by Regulus Sempiternus (http://www.geocities.jp/arm_regulus/partestrada/)</t>
  </si>
  <si>
    <t>信仰度</t>
  </si>
  <si>
    <t>信仰値</t>
  </si>
  <si>
    <t>聖なる影響力</t>
  </si>
  <si>
    <t>神の助力を願う</t>
  </si>
  <si>
    <t>聖別</t>
  </si>
  <si>
    <t>奇蹟を祈る</t>
  </si>
  <si>
    <t>（Lv+時期+切迫）</t>
  </si>
  <si>
    <t>聖人の加護を請う</t>
  </si>
  <si>
    <t>（15+ダイス）</t>
  </si>
  <si>
    <t>聖人を脅す</t>
  </si>
  <si>
    <t>（9+[実力値/5]）</t>
  </si>
  <si>
    <t>医学</t>
  </si>
  <si>
    <t>人間知識</t>
  </si>
  <si>
    <t>フォッソル</t>
  </si>
  <si>
    <t>コンパニオン</t>
  </si>
  <si>
    <t>キャペ</t>
  </si>
  <si>
    <t>はせがわさん</t>
  </si>
  <si>
    <t>男性</t>
  </si>
  <si>
    <t>小</t>
  </si>
  <si>
    <t>富裕</t>
  </si>
  <si>
    <t>大</t>
  </si>
  <si>
    <r>
      <t>教育</t>
    </r>
    <r>
      <rPr>
        <sz val="12"/>
        <rFont val="ＭＳ Ｐゴシック"/>
        <family val="3"/>
      </rPr>
      <t>・</t>
    </r>
    <r>
      <rPr>
        <sz val="12"/>
        <rFont val="ＦＡ 教科書Ｍ"/>
        <family val="3"/>
      </rPr>
      <t>人脈：学者</t>
    </r>
  </si>
  <si>
    <r>
      <t>小</t>
    </r>
    <r>
      <rPr>
        <sz val="12"/>
        <rFont val="ＭＳ Ｐゴシック"/>
        <family val="3"/>
      </rPr>
      <t>・</t>
    </r>
    <r>
      <rPr>
        <sz val="12"/>
        <rFont val="ＦＡ 教科書Ｍ"/>
        <family val="3"/>
      </rPr>
      <t>小</t>
    </r>
  </si>
  <si>
    <r>
      <t>紳士</t>
    </r>
    <r>
      <rPr>
        <sz val="12"/>
        <rFont val="ＭＳ Ｐゴシック"/>
        <family val="3"/>
      </rPr>
      <t>・</t>
    </r>
    <r>
      <rPr>
        <sz val="12"/>
        <rFont val="ＦＡ 教科書Ｍ"/>
        <family val="3"/>
      </rPr>
      <t>世俗の影響力</t>
    </r>
  </si>
  <si>
    <t>鋭い嗅覚</t>
  </si>
  <si>
    <r>
      <t>幸運</t>
    </r>
    <r>
      <rPr>
        <sz val="12"/>
        <rFont val="ＭＳ Ｐゴシック"/>
        <family val="3"/>
      </rPr>
      <t>・</t>
    </r>
    <r>
      <rPr>
        <sz val="12"/>
        <rFont val="ＦＡ 教科書Ｍ"/>
        <family val="3"/>
      </rPr>
      <t>意志堅固</t>
    </r>
  </si>
  <si>
    <t>獣人</t>
  </si>
  <si>
    <t>厄介者</t>
  </si>
  <si>
    <t>恐怖：首輪状のもの</t>
  </si>
  <si>
    <t>大好き：猫</t>
  </si>
  <si>
    <t>方向音痴</t>
  </si>
  <si>
    <t>ぶきっちょ</t>
  </si>
  <si>
    <t>プロヴァンス語</t>
  </si>
  <si>
    <t>哲学</t>
  </si>
  <si>
    <t>運動</t>
  </si>
  <si>
    <t>水泳</t>
  </si>
  <si>
    <t>ダガー</t>
  </si>
  <si>
    <t xml:space="preserve">充填品"人の姿の錨"
錨を象った琥珀細工のブローチ。ハスキー犬への変身を阻止し、人間の姿を保つ。MuCo25、R：接触，D：太陽，T：個。（基本10、+1 接触、+2 太陽）　チャージ数は残り50回。回数が残っていても、初回使用から7年で失効。
</t>
  </si>
  <si>
    <t>ハスキー犬のとき</t>
  </si>
  <si>
    <t>ハスキー犬の噛みつき</t>
  </si>
  <si>
    <t>近接</t>
  </si>
  <si>
    <t>オイル語</t>
  </si>
  <si>
    <t>策略</t>
  </si>
  <si>
    <t>乗馬</t>
  </si>
  <si>
    <t>作法</t>
  </si>
  <si>
    <t>指揮</t>
  </si>
  <si>
    <t>職能：写本</t>
  </si>
  <si>
    <t>物語</t>
  </si>
  <si>
    <t>語彙の豊かさ</t>
  </si>
  <si>
    <t>学術上の利用</t>
  </si>
  <si>
    <t>領主</t>
  </si>
  <si>
    <t>文法</t>
  </si>
  <si>
    <t>自然哲学（動物誌）</t>
  </si>
  <si>
    <t>内科</t>
  </si>
  <si>
    <t>読書</t>
  </si>
  <si>
    <t>貴族</t>
  </si>
  <si>
    <t>優雅さ</t>
  </si>
  <si>
    <t>計画</t>
  </si>
  <si>
    <t>潜水</t>
  </si>
  <si>
    <t>同盟</t>
  </si>
  <si>
    <t>ライオン（戦闘）</t>
  </si>
  <si>
    <t>鼓舞</t>
  </si>
  <si>
    <t>噛みつき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</si>
</sst>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\+0;\-0;\-"/>
    <numFmt numFmtId="193" formatCode="\+0;\-0"/>
    <numFmt numFmtId="194" formatCode="\+0;\-0;"/>
    <numFmt numFmtId="195" formatCode="\(0\)"/>
    <numFmt numFmtId="196" formatCode="0\)"/>
    <numFmt numFmtId="197" formatCode="\(\+0\);\(\-0\)"/>
    <numFmt numFmtId="198" formatCode="\+0\ &quot;§&quot;;\-0\ &quot;§&quot;"/>
    <numFmt numFmtId="199" formatCode="\+0\ &quot;§&quot;;\-0\ &quot;§&quot;;"/>
    <numFmt numFmtId="200" formatCode="0\ &quot;§&quot;;\-0\ &quot;§&quot;;"/>
    <numFmt numFmtId="201" formatCode="0;\-0;"/>
    <numFmt numFmtId="202" formatCode="0.0"/>
    <numFmt numFmtId="203" formatCode="0\ &quot;§&quot;;\-0\ &quot;§&quot;"/>
    <numFmt numFmtId="204" formatCode="0;\-0"/>
    <numFmt numFmtId="205" formatCode="0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35"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9"/>
      <name val="MS UI Gothic"/>
      <family val="3"/>
    </font>
    <font>
      <sz val="6"/>
      <name val="ＭＳ Ｐ明朝"/>
      <family val="1"/>
    </font>
    <font>
      <sz val="10"/>
      <name val="ＭＳ Ｐ明朝"/>
      <family val="1"/>
    </font>
    <font>
      <sz val="9"/>
      <name val="ＦＡ 教科書Ｍ"/>
      <family val="3"/>
    </font>
    <font>
      <sz val="10"/>
      <name val="ＦＡ 教科書Ｍ"/>
      <family val="3"/>
    </font>
    <font>
      <i/>
      <sz val="11"/>
      <name val="Times New Roman"/>
      <family val="1"/>
    </font>
    <font>
      <sz val="12"/>
      <name val="ＦＡ 教科書Ｍ"/>
      <family val="3"/>
    </font>
    <font>
      <sz val="11"/>
      <name val="ＦＡ 教科書Ｍ"/>
      <family val="3"/>
    </font>
    <font>
      <sz val="14"/>
      <name val="ＦＡ 教科書Ｍ"/>
      <family val="3"/>
    </font>
    <font>
      <sz val="12"/>
      <name val="Times New Roman"/>
      <family val="1"/>
    </font>
    <font>
      <sz val="14"/>
      <name val="Symbol"/>
      <family val="1"/>
    </font>
    <font>
      <sz val="8"/>
      <name val="ＦＡ 教科書Ｍ"/>
      <family val="3"/>
    </font>
    <font>
      <b/>
      <sz val="14"/>
      <name val="ＦＡ 教科書Ｍ"/>
      <family val="3"/>
    </font>
    <font>
      <i/>
      <sz val="10"/>
      <name val="ＭＳ Ｐ明朝"/>
      <family val="1"/>
    </font>
    <font>
      <sz val="14"/>
      <name val="ＭＳ Ｐ明朝"/>
      <family val="1"/>
    </font>
    <font>
      <sz val="16"/>
      <name val="ＦＡ 教科書Ｍ"/>
      <family val="3"/>
    </font>
    <font>
      <b/>
      <sz val="16"/>
      <name val="ＦＡ 教科書Ｍ"/>
      <family val="3"/>
    </font>
    <font>
      <sz val="6"/>
      <name val="Times New Roman"/>
      <family val="1"/>
    </font>
    <font>
      <sz val="18"/>
      <name val="ＦＡ 教科書Ｍ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0" fontId="4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11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93" fontId="6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193" fontId="6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193" fontId="12" fillId="0" borderId="0" xfId="0" applyNumberFormat="1" applyFont="1" applyAlignment="1">
      <alignment horizontal="center" vertical="top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193" fontId="5" fillId="0" borderId="0" xfId="0" applyNumberFormat="1" applyFont="1" applyBorder="1" applyAlignment="1">
      <alignment horizontal="center"/>
    </xf>
    <xf numFmtId="20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93" fontId="0" fillId="0" borderId="0" xfId="0" applyNumberFormat="1" applyBorder="1" applyAlignment="1">
      <alignment horizontal="center"/>
    </xf>
    <xf numFmtId="202" fontId="0" fillId="0" borderId="0" xfId="0" applyNumberFormat="1" applyBorder="1" applyAlignment="1">
      <alignment horizontal="center"/>
    </xf>
    <xf numFmtId="193" fontId="0" fillId="0" borderId="0" xfId="0" applyNumberFormat="1" applyAlignment="1">
      <alignment horizontal="center"/>
    </xf>
    <xf numFmtId="202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/>
    </xf>
    <xf numFmtId="193" fontId="6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12" fillId="0" borderId="1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193" fontId="5" fillId="0" borderId="2" xfId="0" applyNumberFormat="1" applyFont="1" applyBorder="1" applyAlignment="1">
      <alignment horizontal="center"/>
    </xf>
    <xf numFmtId="20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193" fontId="5" fillId="0" borderId="1" xfId="0" applyNumberFormat="1" applyFont="1" applyBorder="1" applyAlignment="1">
      <alignment horizontal="center"/>
    </xf>
    <xf numFmtId="20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193" fontId="0" fillId="0" borderId="11" xfId="0" applyNumberFormat="1" applyBorder="1" applyAlignment="1">
      <alignment horizontal="center"/>
    </xf>
    <xf numFmtId="20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 horizontal="left"/>
    </xf>
    <xf numFmtId="193" fontId="0" fillId="0" borderId="2" xfId="0" applyNumberFormat="1" applyBorder="1" applyAlignment="1">
      <alignment horizontal="center"/>
    </xf>
    <xf numFmtId="20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 horizontal="left"/>
    </xf>
    <xf numFmtId="193" fontId="0" fillId="0" borderId="1" xfId="0" applyNumberFormat="1" applyBorder="1" applyAlignment="1">
      <alignment horizontal="center"/>
    </xf>
    <xf numFmtId="202" fontId="0" fillId="0" borderId="1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Continuous" vertical="top"/>
    </xf>
    <xf numFmtId="193" fontId="12" fillId="0" borderId="1" xfId="0" applyNumberFormat="1" applyFont="1" applyBorder="1" applyAlignment="1">
      <alignment horizontal="center" vertical="top"/>
    </xf>
    <xf numFmtId="193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13" fillId="0" borderId="0" xfId="0" applyFont="1" applyAlignment="1">
      <alignment/>
    </xf>
    <xf numFmtId="193" fontId="6" fillId="0" borderId="0" xfId="0" applyNumberFormat="1" applyFont="1" applyAlignment="1" quotePrefix="1">
      <alignment horizontal="left" vertical="top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205" fontId="0" fillId="0" borderId="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" xfId="0" applyFont="1" applyBorder="1" applyAlignment="1">
      <alignment horizontal="center"/>
    </xf>
    <xf numFmtId="205" fontId="0" fillId="0" borderId="11" xfId="0" applyNumberFormat="1" applyBorder="1" applyAlignment="1">
      <alignment horizontal="center"/>
    </xf>
    <xf numFmtId="0" fontId="19" fillId="0" borderId="15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21" fillId="0" borderId="1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2" fillId="0" borderId="21" xfId="0" applyFont="1" applyBorder="1" applyAlignment="1">
      <alignment horizontal="center"/>
    </xf>
    <xf numFmtId="205" fontId="11" fillId="0" borderId="1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205" fontId="11" fillId="0" borderId="15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0" fontId="28" fillId="0" borderId="8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1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32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15" xfId="0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1" fillId="0" borderId="1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24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4" fillId="0" borderId="2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4" fillId="0" borderId="23" xfId="0" applyFont="1" applyBorder="1" applyAlignment="1">
      <alignment/>
    </xf>
    <xf numFmtId="0" fontId="21" fillId="0" borderId="13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6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2" fillId="0" borderId="21" xfId="0" applyFont="1" applyBorder="1" applyAlignment="1">
      <alignment horizontal="center" shrinkToFi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3" fillId="0" borderId="17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1" fillId="0" borderId="22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28" xfId="0" applyFont="1" applyBorder="1" applyAlignment="1">
      <alignment/>
    </xf>
    <xf numFmtId="0" fontId="19" fillId="0" borderId="24" xfId="0" applyFont="1" applyBorder="1" applyAlignment="1">
      <alignment/>
    </xf>
    <xf numFmtId="0" fontId="21" fillId="0" borderId="21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5" xfId="0" applyFont="1" applyBorder="1" applyAlignment="1">
      <alignment/>
    </xf>
    <xf numFmtId="0" fontId="0" fillId="0" borderId="12" xfId="0" applyBorder="1" applyAlignment="1">
      <alignment horizontal="center"/>
    </xf>
    <xf numFmtId="0" fontId="19" fillId="0" borderId="23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20" xfId="0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19" xfId="0" applyFont="1" applyBorder="1" applyAlignment="1">
      <alignment vertical="top"/>
    </xf>
    <xf numFmtId="0" fontId="19" fillId="0" borderId="15" xfId="0" applyFont="1" applyBorder="1" applyAlignment="1">
      <alignment vertical="top"/>
    </xf>
    <xf numFmtId="0" fontId="23" fillId="0" borderId="0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1" fillId="0" borderId="12" xfId="0" applyFont="1" applyBorder="1" applyAlignment="1">
      <alignment horizontal="center"/>
    </xf>
    <xf numFmtId="0" fontId="19" fillId="0" borderId="2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14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0" fillId="0" borderId="0" xfId="0" applyAlignment="1">
      <alignment horizontal="center"/>
    </xf>
    <xf numFmtId="0" fontId="21" fillId="0" borderId="28" xfId="0" applyFont="1" applyBorder="1" applyAlignment="1">
      <alignment horizontal="center" shrinkToFit="1"/>
    </xf>
    <xf numFmtId="0" fontId="21" fillId="0" borderId="24" xfId="0" applyFont="1" applyBorder="1" applyAlignment="1">
      <alignment horizontal="center" shrinkToFit="1"/>
    </xf>
    <xf numFmtId="0" fontId="21" fillId="0" borderId="34" xfId="0" applyFont="1" applyBorder="1" applyAlignment="1">
      <alignment horizontal="center" shrinkToFit="1"/>
    </xf>
    <xf numFmtId="0" fontId="23" fillId="0" borderId="13" xfId="0" applyFont="1" applyBorder="1" applyAlignment="1">
      <alignment horizontal="center"/>
    </xf>
    <xf numFmtId="0" fontId="19" fillId="0" borderId="23" xfId="0" applyFont="1" applyBorder="1" applyAlignment="1">
      <alignment vertical="top" wrapText="1"/>
    </xf>
    <xf numFmtId="0" fontId="19" fillId="0" borderId="13" xfId="0" applyFont="1" applyBorder="1" applyAlignment="1">
      <alignment vertical="top"/>
    </xf>
    <xf numFmtId="0" fontId="21" fillId="0" borderId="35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33" fillId="0" borderId="0" xfId="0" applyFont="1" applyBorder="1" applyAlignment="1">
      <alignment horizontal="right" vertical="center" indent="6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22" fillId="0" borderId="0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21" fillId="0" borderId="26" xfId="0" applyFont="1" applyBorder="1" applyAlignment="1">
      <alignment/>
    </xf>
    <xf numFmtId="0" fontId="22" fillId="0" borderId="27" xfId="0" applyFont="1" applyBorder="1" applyAlignment="1">
      <alignment horizontal="center"/>
    </xf>
    <xf numFmtId="0" fontId="22" fillId="0" borderId="16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workbookViewId="0" topLeftCell="A11">
      <selection activeCell="N18" sqref="N18"/>
    </sheetView>
  </sheetViews>
  <sheetFormatPr defaultColWidth="9.33203125" defaultRowHeight="12.75"/>
  <cols>
    <col min="1" max="1" width="16.66015625" style="0" customWidth="1"/>
    <col min="2" max="2" width="1.0078125" style="0" customWidth="1"/>
    <col min="3" max="3" width="6.66015625" style="0" customWidth="1"/>
    <col min="4" max="4" width="0.82421875" style="0" customWidth="1"/>
    <col min="5" max="5" width="4.5" style="0" customWidth="1"/>
    <col min="6" max="6" width="1.171875" style="0" customWidth="1"/>
    <col min="7" max="7" width="8.5" style="0" customWidth="1"/>
    <col min="8" max="8" width="1.171875" style="0" customWidth="1"/>
    <col min="9" max="9" width="4" style="0" customWidth="1"/>
    <col min="10" max="10" width="15.66015625" style="0" customWidth="1"/>
    <col min="11" max="11" width="1.0078125" style="0" customWidth="1"/>
    <col min="12" max="12" width="8.16015625" style="0" customWidth="1"/>
    <col min="13" max="13" width="1.83203125" style="0" customWidth="1"/>
    <col min="15" max="15" width="1.83203125" style="0" customWidth="1"/>
    <col min="17" max="17" width="1.0078125" style="0" customWidth="1"/>
    <col min="18" max="18" width="12.83203125" style="0" customWidth="1"/>
    <col min="19" max="19" width="0.82421875" style="0" customWidth="1"/>
    <col min="20" max="20" width="6.66015625" style="0" customWidth="1"/>
    <col min="22" max="22" width="1.0078125" style="0" customWidth="1"/>
    <col min="24" max="24" width="0.65625" style="0" customWidth="1"/>
    <col min="26" max="26" width="0.4921875" style="0" customWidth="1"/>
    <col min="28" max="28" width="0.82421875" style="0" customWidth="1"/>
    <col min="30" max="30" width="0.82421875" style="0" customWidth="1"/>
    <col min="32" max="32" width="0.82421875" style="0" customWidth="1"/>
    <col min="34" max="34" width="0.82421875" style="0" customWidth="1"/>
  </cols>
  <sheetData>
    <row r="1" spans="1:19" ht="19.5">
      <c r="A1" s="138" t="s">
        <v>602</v>
      </c>
      <c r="B1" s="108"/>
      <c r="C1" s="216" t="s">
        <v>854</v>
      </c>
      <c r="D1" s="216"/>
      <c r="E1" s="216"/>
      <c r="F1" s="216"/>
      <c r="G1" s="216"/>
      <c r="H1" s="95"/>
      <c r="J1" s="131" t="s">
        <v>656</v>
      </c>
      <c r="K1" s="113"/>
      <c r="L1" s="103" t="s">
        <v>610</v>
      </c>
      <c r="M1" s="101"/>
      <c r="N1" s="103" t="s">
        <v>614</v>
      </c>
      <c r="O1" s="101"/>
      <c r="P1" s="227" t="s">
        <v>877</v>
      </c>
      <c r="Q1" s="213"/>
      <c r="R1" s="214"/>
      <c r="S1" s="6"/>
    </row>
    <row r="2" spans="1:19" ht="17.25">
      <c r="A2" s="139" t="s">
        <v>603</v>
      </c>
      <c r="B2" s="109"/>
      <c r="C2" s="247" t="s">
        <v>855</v>
      </c>
      <c r="D2" s="247"/>
      <c r="E2" s="247"/>
      <c r="F2" s="247"/>
      <c r="G2" s="247"/>
      <c r="H2" s="96"/>
      <c r="J2" s="127" t="s">
        <v>615</v>
      </c>
      <c r="K2" s="11"/>
      <c r="L2" s="117">
        <v>3</v>
      </c>
      <c r="M2" s="11" t="s">
        <v>623</v>
      </c>
      <c r="N2" s="119">
        <v>0</v>
      </c>
      <c r="O2" s="154" t="s">
        <v>623</v>
      </c>
      <c r="P2" s="233">
        <v>3</v>
      </c>
      <c r="Q2" s="233"/>
      <c r="R2" s="228"/>
      <c r="S2" s="6"/>
    </row>
    <row r="3" spans="1:19" ht="17.25">
      <c r="A3" s="139" t="s">
        <v>606</v>
      </c>
      <c r="B3" s="109"/>
      <c r="C3" s="217" t="s">
        <v>852</v>
      </c>
      <c r="D3" s="217"/>
      <c r="E3" s="217"/>
      <c r="F3" s="217"/>
      <c r="G3" s="217"/>
      <c r="H3" s="96"/>
      <c r="J3" s="128" t="s">
        <v>616</v>
      </c>
      <c r="K3" s="70"/>
      <c r="L3" s="117">
        <v>1</v>
      </c>
      <c r="M3" s="11" t="s">
        <v>623</v>
      </c>
      <c r="N3" s="119">
        <v>0</v>
      </c>
      <c r="O3" s="11" t="s">
        <v>623</v>
      </c>
      <c r="P3" s="233">
        <v>3</v>
      </c>
      <c r="Q3" s="233"/>
      <c r="R3" s="228"/>
      <c r="S3" s="6"/>
    </row>
    <row r="4" spans="1:19" ht="16.5">
      <c r="A4" s="140" t="s">
        <v>607</v>
      </c>
      <c r="B4" s="110"/>
      <c r="C4" s="232" t="s">
        <v>853</v>
      </c>
      <c r="D4" s="233"/>
      <c r="E4" s="233"/>
      <c r="F4" s="233"/>
      <c r="G4" s="233"/>
      <c r="H4" s="97"/>
      <c r="J4" s="128" t="s">
        <v>617</v>
      </c>
      <c r="K4" s="70"/>
      <c r="L4" s="117">
        <v>-1</v>
      </c>
      <c r="M4" s="11" t="s">
        <v>623</v>
      </c>
      <c r="N4" s="119">
        <v>0</v>
      </c>
      <c r="O4" s="11" t="s">
        <v>623</v>
      </c>
      <c r="P4" s="233">
        <v>-5</v>
      </c>
      <c r="Q4" s="233"/>
      <c r="R4" s="228"/>
      <c r="S4" s="6"/>
    </row>
    <row r="5" spans="1:19" ht="16.5">
      <c r="A5" s="129"/>
      <c r="B5" s="109"/>
      <c r="C5" s="234"/>
      <c r="D5" s="234"/>
      <c r="E5" s="234"/>
      <c r="F5" s="234"/>
      <c r="G5" s="234"/>
      <c r="H5" s="97"/>
      <c r="J5" s="128" t="s">
        <v>618</v>
      </c>
      <c r="K5" s="70"/>
      <c r="L5" s="117">
        <v>-3</v>
      </c>
      <c r="M5" s="11" t="s">
        <v>623</v>
      </c>
      <c r="N5" s="119">
        <v>0</v>
      </c>
      <c r="O5" s="11" t="s">
        <v>623</v>
      </c>
      <c r="P5" s="233">
        <v>-3</v>
      </c>
      <c r="Q5" s="233"/>
      <c r="R5" s="228"/>
      <c r="S5" s="6"/>
    </row>
    <row r="6" spans="1:19" ht="16.5">
      <c r="A6" s="176" t="s">
        <v>804</v>
      </c>
      <c r="C6" s="247" t="s">
        <v>856</v>
      </c>
      <c r="D6" s="247"/>
      <c r="E6" s="247"/>
      <c r="F6" s="247"/>
      <c r="G6" s="247"/>
      <c r="H6" s="97"/>
      <c r="J6" s="127" t="s">
        <v>619</v>
      </c>
      <c r="K6" s="11"/>
      <c r="L6" s="117">
        <v>2</v>
      </c>
      <c r="M6" s="11" t="s">
        <v>623</v>
      </c>
      <c r="N6" s="119">
        <v>0</v>
      </c>
      <c r="O6" s="11" t="s">
        <v>623</v>
      </c>
      <c r="P6" s="233">
        <v>2</v>
      </c>
      <c r="Q6" s="233"/>
      <c r="R6" s="228"/>
      <c r="S6" s="6"/>
    </row>
    <row r="7" spans="1:19" ht="17.25">
      <c r="A7" s="129" t="s">
        <v>608</v>
      </c>
      <c r="B7" s="111"/>
      <c r="C7" s="122">
        <v>1197</v>
      </c>
      <c r="D7" s="188"/>
      <c r="E7" s="21" t="s">
        <v>601</v>
      </c>
      <c r="F7" s="189"/>
      <c r="G7" s="122">
        <v>1231</v>
      </c>
      <c r="H7" s="97"/>
      <c r="J7" s="128" t="s">
        <v>620</v>
      </c>
      <c r="K7" s="70"/>
      <c r="L7" s="117">
        <v>1</v>
      </c>
      <c r="M7" s="11" t="s">
        <v>623</v>
      </c>
      <c r="N7" s="119">
        <v>0</v>
      </c>
      <c r="O7" s="11" t="s">
        <v>623</v>
      </c>
      <c r="P7" s="233">
        <v>3</v>
      </c>
      <c r="Q7" s="233"/>
      <c r="R7" s="228"/>
      <c r="S7" s="6"/>
    </row>
    <row r="8" spans="1:20" ht="17.25">
      <c r="A8" s="129" t="s">
        <v>604</v>
      </c>
      <c r="B8" s="111"/>
      <c r="C8" s="125">
        <f>G7-C7</f>
        <v>34</v>
      </c>
      <c r="D8" s="186"/>
      <c r="E8" s="81" t="s">
        <v>601</v>
      </c>
      <c r="F8" s="21"/>
      <c r="G8" s="122">
        <v>34</v>
      </c>
      <c r="H8" s="97"/>
      <c r="J8" s="127" t="s">
        <v>621</v>
      </c>
      <c r="K8" s="11"/>
      <c r="L8" s="117">
        <v>0</v>
      </c>
      <c r="M8" s="11" t="s">
        <v>623</v>
      </c>
      <c r="N8" s="119">
        <v>0</v>
      </c>
      <c r="O8" s="11" t="s">
        <v>623</v>
      </c>
      <c r="P8" s="233">
        <v>1</v>
      </c>
      <c r="Q8" s="233"/>
      <c r="R8" s="228"/>
      <c r="S8" s="6"/>
      <c r="T8" s="173" t="s">
        <v>802</v>
      </c>
    </row>
    <row r="9" spans="1:20" ht="17.25">
      <c r="A9" s="176" t="s">
        <v>803</v>
      </c>
      <c r="B9" s="109"/>
      <c r="C9" s="248">
        <v>0</v>
      </c>
      <c r="D9" s="248"/>
      <c r="E9" s="248"/>
      <c r="F9" s="248"/>
      <c r="G9" s="248"/>
      <c r="H9" s="97"/>
      <c r="J9" s="128" t="s">
        <v>622</v>
      </c>
      <c r="K9" s="70"/>
      <c r="L9" s="120">
        <v>2</v>
      </c>
      <c r="M9" s="70" t="s">
        <v>623</v>
      </c>
      <c r="N9" s="119">
        <v>0</v>
      </c>
      <c r="O9" s="70" t="s">
        <v>623</v>
      </c>
      <c r="P9" s="233">
        <v>4</v>
      </c>
      <c r="Q9" s="233"/>
      <c r="R9" s="228"/>
      <c r="S9" s="6"/>
      <c r="T9">
        <f>7-(SUM(N2:N9))</f>
        <v>7</v>
      </c>
    </row>
    <row r="10" spans="1:18" ht="17.25" thickBot="1">
      <c r="A10" s="130" t="s">
        <v>605</v>
      </c>
      <c r="B10" s="112"/>
      <c r="C10" s="124">
        <v>1</v>
      </c>
      <c r="D10" s="187"/>
      <c r="E10" s="98" t="s">
        <v>601</v>
      </c>
      <c r="F10" s="98"/>
      <c r="G10" s="124">
        <v>3</v>
      </c>
      <c r="H10" s="100"/>
      <c r="J10" s="245" t="s">
        <v>801</v>
      </c>
      <c r="K10" s="246"/>
      <c r="L10" s="246"/>
      <c r="M10" s="246"/>
      <c r="N10" s="174">
        <f>SUM(N2:N9)</f>
        <v>0</v>
      </c>
      <c r="O10" s="135"/>
      <c r="P10" s="121" t="s">
        <v>800</v>
      </c>
      <c r="Q10" s="134"/>
      <c r="R10" s="175">
        <f>TRUNC((SQRT(8*(N10/5)+1)-1)/2)</f>
        <v>0</v>
      </c>
    </row>
    <row r="11" s="192" customFormat="1" ht="12" thickBot="1"/>
    <row r="12" spans="1:18" ht="18.75">
      <c r="A12" s="226" t="s">
        <v>657</v>
      </c>
      <c r="B12" s="215"/>
      <c r="C12" s="215"/>
      <c r="D12" s="215"/>
      <c r="E12" s="215"/>
      <c r="F12" s="133"/>
      <c r="G12" s="103" t="s">
        <v>624</v>
      </c>
      <c r="H12" s="105"/>
      <c r="J12" s="131" t="s">
        <v>655</v>
      </c>
      <c r="K12" s="113"/>
      <c r="L12" s="103" t="s">
        <v>610</v>
      </c>
      <c r="M12" s="101"/>
      <c r="N12" s="103" t="s">
        <v>625</v>
      </c>
      <c r="O12" s="101"/>
      <c r="P12" s="227" t="s">
        <v>613</v>
      </c>
      <c r="Q12" s="213"/>
      <c r="R12" s="214"/>
    </row>
    <row r="13" spans="1:18" ht="17.25">
      <c r="A13" s="237" t="s">
        <v>862</v>
      </c>
      <c r="B13" s="238"/>
      <c r="C13" s="238"/>
      <c r="D13" s="238"/>
      <c r="E13" s="238"/>
      <c r="F13" s="183"/>
      <c r="G13" s="136" t="s">
        <v>861</v>
      </c>
      <c r="H13" s="97"/>
      <c r="J13" s="208" t="s">
        <v>880</v>
      </c>
      <c r="K13" s="1"/>
      <c r="L13" s="156">
        <f aca="true" t="shared" si="0" ref="L13:L35">TRUNC((SQRT(8*(N13/5)+1)-1)/2)</f>
        <v>5</v>
      </c>
      <c r="M13" s="1" t="s">
        <v>623</v>
      </c>
      <c r="N13" s="123">
        <v>75</v>
      </c>
      <c r="O13" s="1" t="s">
        <v>623</v>
      </c>
      <c r="P13" s="232" t="s">
        <v>886</v>
      </c>
      <c r="Q13" s="232"/>
      <c r="R13" s="307"/>
    </row>
    <row r="14" spans="1:18" ht="17.25">
      <c r="A14" s="237" t="s">
        <v>858</v>
      </c>
      <c r="B14" s="238"/>
      <c r="C14" s="238"/>
      <c r="D14" s="238"/>
      <c r="E14" s="238"/>
      <c r="F14" s="183"/>
      <c r="G14" s="136" t="s">
        <v>859</v>
      </c>
      <c r="H14" s="97"/>
      <c r="J14" s="210" t="s">
        <v>871</v>
      </c>
      <c r="K14" s="1"/>
      <c r="L14" s="156">
        <f t="shared" si="0"/>
        <v>4</v>
      </c>
      <c r="M14" s="1" t="s">
        <v>623</v>
      </c>
      <c r="N14" s="123">
        <v>55</v>
      </c>
      <c r="O14" s="1" t="s">
        <v>623</v>
      </c>
      <c r="P14" s="232" t="s">
        <v>887</v>
      </c>
      <c r="Q14" s="232"/>
      <c r="R14" s="307"/>
    </row>
    <row r="15" spans="1:18" ht="17.25">
      <c r="A15" s="237" t="s">
        <v>860</v>
      </c>
      <c r="B15" s="238"/>
      <c r="C15" s="238"/>
      <c r="D15" s="238"/>
      <c r="E15" s="238"/>
      <c r="F15" s="209"/>
      <c r="G15" s="136" t="s">
        <v>861</v>
      </c>
      <c r="H15" s="97"/>
      <c r="J15" s="155" t="s">
        <v>809</v>
      </c>
      <c r="K15" s="1"/>
      <c r="L15" s="156">
        <f t="shared" si="0"/>
        <v>3</v>
      </c>
      <c r="M15" s="1" t="s">
        <v>623</v>
      </c>
      <c r="N15" s="123">
        <v>30</v>
      </c>
      <c r="O15" s="1" t="s">
        <v>623</v>
      </c>
      <c r="P15" s="232" t="s">
        <v>888</v>
      </c>
      <c r="Q15" s="232"/>
      <c r="R15" s="307"/>
    </row>
    <row r="16" spans="1:18" ht="17.25">
      <c r="A16" s="237" t="s">
        <v>863</v>
      </c>
      <c r="B16" s="238"/>
      <c r="C16" s="238"/>
      <c r="D16" s="238"/>
      <c r="E16" s="238"/>
      <c r="F16" s="183"/>
      <c r="G16" s="136" t="s">
        <v>857</v>
      </c>
      <c r="H16" s="97"/>
      <c r="J16" s="155" t="s">
        <v>885</v>
      </c>
      <c r="K16" s="1"/>
      <c r="L16" s="156">
        <f t="shared" si="0"/>
        <v>4</v>
      </c>
      <c r="M16" s="1" t="s">
        <v>623</v>
      </c>
      <c r="N16" s="123">
        <v>50</v>
      </c>
      <c r="O16" s="1" t="s">
        <v>623</v>
      </c>
      <c r="P16" s="232" t="s">
        <v>889</v>
      </c>
      <c r="Q16" s="232"/>
      <c r="R16" s="307"/>
    </row>
    <row r="17" spans="1:18" ht="17.25">
      <c r="A17" s="237" t="s">
        <v>864</v>
      </c>
      <c r="B17" s="238"/>
      <c r="C17" s="238"/>
      <c r="D17" s="238"/>
      <c r="E17" s="238"/>
      <c r="F17" s="183"/>
      <c r="G17" s="136" t="s">
        <v>861</v>
      </c>
      <c r="H17" s="97"/>
      <c r="J17" s="155" t="s">
        <v>811</v>
      </c>
      <c r="K17" s="1"/>
      <c r="L17" s="156">
        <f t="shared" si="0"/>
        <v>4</v>
      </c>
      <c r="M17" s="1" t="s">
        <v>623</v>
      </c>
      <c r="N17" s="123">
        <v>50</v>
      </c>
      <c r="O17" s="1" t="s">
        <v>623</v>
      </c>
      <c r="P17" s="232" t="s">
        <v>890</v>
      </c>
      <c r="Q17" s="232"/>
      <c r="R17" s="307"/>
    </row>
    <row r="18" spans="1:18" ht="17.25">
      <c r="A18" s="237" t="s">
        <v>865</v>
      </c>
      <c r="B18" s="238"/>
      <c r="C18" s="238"/>
      <c r="D18" s="238"/>
      <c r="E18" s="238"/>
      <c r="F18" s="183"/>
      <c r="G18" s="136" t="s">
        <v>859</v>
      </c>
      <c r="H18" s="97"/>
      <c r="J18" s="155" t="s">
        <v>872</v>
      </c>
      <c r="K18" s="1"/>
      <c r="L18" s="156">
        <f t="shared" si="0"/>
        <v>5</v>
      </c>
      <c r="M18" s="1" t="s">
        <v>623</v>
      </c>
      <c r="N18" s="123">
        <v>75</v>
      </c>
      <c r="O18" s="1" t="s">
        <v>623</v>
      </c>
      <c r="P18" s="232" t="s">
        <v>891</v>
      </c>
      <c r="Q18" s="232"/>
      <c r="R18" s="307"/>
    </row>
    <row r="19" spans="1:18" ht="17.25">
      <c r="A19" s="237" t="s">
        <v>866</v>
      </c>
      <c r="B19" s="238"/>
      <c r="C19" s="238"/>
      <c r="D19" s="238"/>
      <c r="E19" s="238"/>
      <c r="F19" s="183"/>
      <c r="G19" s="136" t="s">
        <v>859</v>
      </c>
      <c r="H19" s="97"/>
      <c r="J19" s="155" t="s">
        <v>850</v>
      </c>
      <c r="K19" s="1"/>
      <c r="L19" s="156">
        <f t="shared" si="0"/>
        <v>0</v>
      </c>
      <c r="M19" s="1" t="s">
        <v>623</v>
      </c>
      <c r="N19" s="123"/>
      <c r="O19" s="1" t="s">
        <v>623</v>
      </c>
      <c r="P19" s="232" t="s">
        <v>892</v>
      </c>
      <c r="Q19" s="232"/>
      <c r="R19" s="307"/>
    </row>
    <row r="20" spans="1:18" ht="17.25">
      <c r="A20" s="237" t="s">
        <v>867</v>
      </c>
      <c r="B20" s="238"/>
      <c r="C20" s="238"/>
      <c r="D20" s="238"/>
      <c r="E20" s="238"/>
      <c r="F20" s="183"/>
      <c r="G20" s="136" t="s">
        <v>857</v>
      </c>
      <c r="H20" s="97"/>
      <c r="J20" s="155" t="s">
        <v>810</v>
      </c>
      <c r="K20" s="1"/>
      <c r="L20" s="156">
        <f t="shared" si="0"/>
        <v>2</v>
      </c>
      <c r="M20" s="1" t="s">
        <v>623</v>
      </c>
      <c r="N20" s="123">
        <v>15</v>
      </c>
      <c r="O20" s="1" t="s">
        <v>623</v>
      </c>
      <c r="P20" s="232" t="s">
        <v>893</v>
      </c>
      <c r="Q20" s="232"/>
      <c r="R20" s="307"/>
    </row>
    <row r="21" spans="1:18" ht="17.25">
      <c r="A21" s="237" t="s">
        <v>868</v>
      </c>
      <c r="B21" s="238"/>
      <c r="C21" s="238"/>
      <c r="D21" s="238"/>
      <c r="E21" s="238"/>
      <c r="F21" s="183"/>
      <c r="G21" s="136" t="s">
        <v>857</v>
      </c>
      <c r="H21" s="97"/>
      <c r="J21" s="155" t="s">
        <v>851</v>
      </c>
      <c r="K21" s="1"/>
      <c r="L21" s="156">
        <f t="shared" si="0"/>
        <v>1</v>
      </c>
      <c r="M21" s="1" t="s">
        <v>623</v>
      </c>
      <c r="N21" s="123">
        <v>5</v>
      </c>
      <c r="O21" s="1" t="s">
        <v>623</v>
      </c>
      <c r="P21" s="232" t="s">
        <v>894</v>
      </c>
      <c r="Q21" s="232"/>
      <c r="R21" s="307"/>
    </row>
    <row r="22" spans="1:18" ht="17.25">
      <c r="A22" s="237" t="s">
        <v>870</v>
      </c>
      <c r="B22" s="238"/>
      <c r="C22" s="238"/>
      <c r="D22" s="238"/>
      <c r="E22" s="238"/>
      <c r="F22" s="183"/>
      <c r="G22" s="136" t="s">
        <v>857</v>
      </c>
      <c r="H22" s="97"/>
      <c r="J22" s="155" t="s">
        <v>873</v>
      </c>
      <c r="K22" s="1"/>
      <c r="L22" s="156">
        <f t="shared" si="0"/>
        <v>2</v>
      </c>
      <c r="M22" s="1" t="s">
        <v>623</v>
      </c>
      <c r="N22" s="123">
        <v>15</v>
      </c>
      <c r="O22" s="1" t="s">
        <v>623</v>
      </c>
      <c r="P22" s="232" t="s">
        <v>895</v>
      </c>
      <c r="Q22" s="232"/>
      <c r="R22" s="307"/>
    </row>
    <row r="23" spans="1:18" ht="18" thickBot="1">
      <c r="A23" s="243" t="s">
        <v>869</v>
      </c>
      <c r="B23" s="244"/>
      <c r="C23" s="244"/>
      <c r="D23" s="244"/>
      <c r="E23" s="244"/>
      <c r="F23" s="185"/>
      <c r="G23" s="137" t="s">
        <v>857</v>
      </c>
      <c r="H23" s="100"/>
      <c r="J23" s="155" t="s">
        <v>812</v>
      </c>
      <c r="K23" s="1"/>
      <c r="L23" s="156">
        <f t="shared" si="0"/>
        <v>2</v>
      </c>
      <c r="M23" s="1" t="s">
        <v>623</v>
      </c>
      <c r="N23" s="123">
        <v>15</v>
      </c>
      <c r="O23" s="1" t="s">
        <v>623</v>
      </c>
      <c r="P23" s="232" t="s">
        <v>896</v>
      </c>
      <c r="Q23" s="232"/>
      <c r="R23" s="307"/>
    </row>
    <row r="24" spans="10:18" ht="17.25" thickBot="1">
      <c r="J24" s="155" t="s">
        <v>874</v>
      </c>
      <c r="K24" s="1"/>
      <c r="L24" s="156">
        <f t="shared" si="0"/>
        <v>3</v>
      </c>
      <c r="M24" s="1" t="s">
        <v>623</v>
      </c>
      <c r="N24" s="123">
        <v>30</v>
      </c>
      <c r="O24" s="1" t="s">
        <v>623</v>
      </c>
      <c r="P24" s="232" t="s">
        <v>897</v>
      </c>
      <c r="Q24" s="232"/>
      <c r="R24" s="307"/>
    </row>
    <row r="25" spans="1:18" ht="17.25">
      <c r="A25" s="240" t="s">
        <v>609</v>
      </c>
      <c r="B25" s="241"/>
      <c r="C25" s="241"/>
      <c r="D25" s="101"/>
      <c r="E25" s="101"/>
      <c r="F25" s="101"/>
      <c r="G25" s="103" t="s">
        <v>610</v>
      </c>
      <c r="H25" s="105"/>
      <c r="J25" s="155" t="s">
        <v>881</v>
      </c>
      <c r="K25" s="1"/>
      <c r="L25" s="156">
        <f t="shared" si="0"/>
        <v>3</v>
      </c>
      <c r="M25" s="1" t="s">
        <v>623</v>
      </c>
      <c r="N25" s="123">
        <v>34</v>
      </c>
      <c r="O25" s="1" t="s">
        <v>623</v>
      </c>
      <c r="P25" s="232" t="s">
        <v>898</v>
      </c>
      <c r="Q25" s="232"/>
      <c r="R25" s="307"/>
    </row>
    <row r="26" spans="1:18" ht="17.25">
      <c r="A26" s="237" t="s">
        <v>867</v>
      </c>
      <c r="B26" s="242"/>
      <c r="C26" s="242"/>
      <c r="D26" s="184"/>
      <c r="E26" s="136" t="s">
        <v>611</v>
      </c>
      <c r="F26" s="136"/>
      <c r="G26" s="136">
        <v>3</v>
      </c>
      <c r="H26" s="97"/>
      <c r="J26" s="155" t="s">
        <v>882</v>
      </c>
      <c r="K26" s="1"/>
      <c r="L26" s="156">
        <f t="shared" si="0"/>
        <v>4</v>
      </c>
      <c r="M26" s="1" t="s">
        <v>623</v>
      </c>
      <c r="N26" s="123">
        <v>50</v>
      </c>
      <c r="O26" s="1" t="s">
        <v>623</v>
      </c>
      <c r="P26" s="232" t="s">
        <v>899</v>
      </c>
      <c r="Q26" s="232"/>
      <c r="R26" s="307"/>
    </row>
    <row r="27" spans="1:18" ht="17.25">
      <c r="A27" s="230" t="s">
        <v>868</v>
      </c>
      <c r="B27" s="231"/>
      <c r="C27" s="231"/>
      <c r="D27" s="184"/>
      <c r="E27" s="136" t="s">
        <v>611</v>
      </c>
      <c r="F27" s="136"/>
      <c r="G27" s="136">
        <v>3</v>
      </c>
      <c r="H27" s="97"/>
      <c r="J27" s="155" t="s">
        <v>883</v>
      </c>
      <c r="K27" s="1"/>
      <c r="L27" s="156">
        <f t="shared" si="0"/>
        <v>2</v>
      </c>
      <c r="M27" s="1" t="s">
        <v>623</v>
      </c>
      <c r="N27" s="123">
        <v>20</v>
      </c>
      <c r="O27" s="1" t="s">
        <v>623</v>
      </c>
      <c r="P27" s="232" t="s">
        <v>894</v>
      </c>
      <c r="Q27" s="232"/>
      <c r="R27" s="307"/>
    </row>
    <row r="28" spans="1:18" ht="18" thickBot="1">
      <c r="A28" s="235"/>
      <c r="B28" s="239"/>
      <c r="C28" s="239"/>
      <c r="D28" s="185"/>
      <c r="E28" s="137" t="s">
        <v>611</v>
      </c>
      <c r="F28" s="137"/>
      <c r="G28" s="137"/>
      <c r="H28" s="100"/>
      <c r="J28" s="155" t="s">
        <v>884</v>
      </c>
      <c r="K28" s="1"/>
      <c r="L28" s="156">
        <f t="shared" si="0"/>
        <v>2</v>
      </c>
      <c r="M28" s="1" t="s">
        <v>623</v>
      </c>
      <c r="N28" s="123">
        <v>20</v>
      </c>
      <c r="O28" s="1" t="s">
        <v>623</v>
      </c>
      <c r="P28" s="232" t="s">
        <v>900</v>
      </c>
      <c r="Q28" s="232"/>
      <c r="R28" s="307"/>
    </row>
    <row r="29" spans="1:18" ht="17.25">
      <c r="A29" s="240" t="s">
        <v>612</v>
      </c>
      <c r="B29" s="241"/>
      <c r="C29" s="241"/>
      <c r="D29" s="103"/>
      <c r="E29" s="103" t="s">
        <v>610</v>
      </c>
      <c r="F29" s="103"/>
      <c r="G29" s="171" t="s">
        <v>815</v>
      </c>
      <c r="H29" s="105"/>
      <c r="J29" s="155"/>
      <c r="K29" s="1"/>
      <c r="L29" s="156">
        <f t="shared" si="0"/>
        <v>0</v>
      </c>
      <c r="M29" s="1" t="s">
        <v>623</v>
      </c>
      <c r="N29" s="123"/>
      <c r="O29" s="1" t="s">
        <v>623</v>
      </c>
      <c r="P29" s="232"/>
      <c r="Q29" s="232"/>
      <c r="R29" s="307"/>
    </row>
    <row r="30" spans="1:18" ht="17.25">
      <c r="A30" s="237"/>
      <c r="B30" s="238"/>
      <c r="C30" s="238"/>
      <c r="D30" s="184"/>
      <c r="E30" s="136">
        <f>TRUNC((SQRT(8*(G30/5)+1)-1)/2)</f>
        <v>0</v>
      </c>
      <c r="F30" s="136" t="s">
        <v>816</v>
      </c>
      <c r="G30" s="190"/>
      <c r="H30" s="97"/>
      <c r="J30" s="155"/>
      <c r="K30" s="1"/>
      <c r="L30" s="156">
        <f t="shared" si="0"/>
        <v>0</v>
      </c>
      <c r="M30" s="1" t="s">
        <v>623</v>
      </c>
      <c r="N30" s="123"/>
      <c r="O30" s="1" t="s">
        <v>623</v>
      </c>
      <c r="P30" s="232"/>
      <c r="Q30" s="232"/>
      <c r="R30" s="307"/>
    </row>
    <row r="31" spans="1:18" ht="18" thickBot="1">
      <c r="A31" s="235"/>
      <c r="B31" s="236"/>
      <c r="C31" s="236"/>
      <c r="D31" s="183"/>
      <c r="E31" s="141">
        <f>TRUNC((SQRT(8*(G31/5)+1)-1)/2)</f>
        <v>0</v>
      </c>
      <c r="F31" s="141" t="s">
        <v>816</v>
      </c>
      <c r="G31" s="191"/>
      <c r="H31" s="97"/>
      <c r="J31" s="155"/>
      <c r="K31" s="1"/>
      <c r="L31" s="156">
        <f t="shared" si="0"/>
        <v>0</v>
      </c>
      <c r="M31" s="1" t="s">
        <v>623</v>
      </c>
      <c r="N31" s="123"/>
      <c r="O31" s="1" t="s">
        <v>623</v>
      </c>
      <c r="P31" s="232"/>
      <c r="Q31" s="232"/>
      <c r="R31" s="307"/>
    </row>
    <row r="32" spans="1:18" ht="17.25">
      <c r="A32" s="240" t="s">
        <v>634</v>
      </c>
      <c r="B32" s="241"/>
      <c r="C32" s="241"/>
      <c r="D32" s="143"/>
      <c r="E32" s="143">
        <f>TRUNC((SQRT(8*(G32/5)+1)-1)/2)</f>
        <v>0</v>
      </c>
      <c r="F32" s="143" t="s">
        <v>817</v>
      </c>
      <c r="G32" s="143">
        <v>0</v>
      </c>
      <c r="H32" s="105"/>
      <c r="J32" s="155"/>
      <c r="K32" s="1"/>
      <c r="L32" s="156">
        <f t="shared" si="0"/>
        <v>0</v>
      </c>
      <c r="M32" s="1" t="s">
        <v>623</v>
      </c>
      <c r="N32" s="123"/>
      <c r="O32" s="1" t="s">
        <v>623</v>
      </c>
      <c r="P32" s="232"/>
      <c r="Q32" s="232"/>
      <c r="R32" s="307"/>
    </row>
    <row r="33" spans="1:18" ht="17.25">
      <c r="A33" s="237"/>
      <c r="B33" s="242"/>
      <c r="C33" s="242"/>
      <c r="D33" s="242"/>
      <c r="E33" s="242"/>
      <c r="F33" s="242"/>
      <c r="G33" s="242"/>
      <c r="H33" s="97"/>
      <c r="J33" s="155"/>
      <c r="K33" s="1"/>
      <c r="L33" s="156">
        <f t="shared" si="0"/>
        <v>0</v>
      </c>
      <c r="M33" s="1" t="s">
        <v>623</v>
      </c>
      <c r="N33" s="123"/>
      <c r="O33" s="1" t="s">
        <v>623</v>
      </c>
      <c r="P33" s="232"/>
      <c r="Q33" s="232"/>
      <c r="R33" s="307"/>
    </row>
    <row r="34" spans="1:20" ht="17.25">
      <c r="A34" s="230"/>
      <c r="B34" s="231"/>
      <c r="C34" s="231"/>
      <c r="D34" s="231"/>
      <c r="E34" s="231"/>
      <c r="F34" s="231"/>
      <c r="G34" s="231"/>
      <c r="H34" s="97"/>
      <c r="J34" s="155"/>
      <c r="K34" s="1"/>
      <c r="L34" s="156">
        <f t="shared" si="0"/>
        <v>0</v>
      </c>
      <c r="M34" s="1" t="s">
        <v>623</v>
      </c>
      <c r="N34" s="123"/>
      <c r="O34" s="1" t="s">
        <v>623</v>
      </c>
      <c r="P34" s="232"/>
      <c r="Q34" s="232"/>
      <c r="R34" s="307"/>
      <c r="T34" s="149" t="s">
        <v>805</v>
      </c>
    </row>
    <row r="35" spans="1:20" ht="18" thickBot="1">
      <c r="A35" s="235"/>
      <c r="B35" s="236"/>
      <c r="C35" s="236"/>
      <c r="D35" s="236"/>
      <c r="E35" s="236"/>
      <c r="F35" s="236"/>
      <c r="G35" s="236"/>
      <c r="H35" s="100"/>
      <c r="J35" s="157" t="s">
        <v>658</v>
      </c>
      <c r="K35" s="99"/>
      <c r="L35" s="158">
        <f t="shared" si="0"/>
        <v>4</v>
      </c>
      <c r="M35" s="99" t="s">
        <v>623</v>
      </c>
      <c r="N35" s="126">
        <v>50</v>
      </c>
      <c r="O35" s="99" t="s">
        <v>623</v>
      </c>
      <c r="P35" s="298" t="s">
        <v>901</v>
      </c>
      <c r="Q35" s="298"/>
      <c r="R35" s="308"/>
      <c r="T35">
        <f>SUM(N13:N35)</f>
        <v>589</v>
      </c>
    </row>
    <row r="36" s="182" customFormat="1" ht="9" thickBot="1"/>
    <row r="37" spans="1:18" ht="18.75">
      <c r="A37" s="224" t="s">
        <v>631</v>
      </c>
      <c r="B37" s="225"/>
      <c r="C37" s="225"/>
      <c r="D37" s="148"/>
      <c r="E37" s="103" t="s">
        <v>633</v>
      </c>
      <c r="F37" s="133"/>
      <c r="G37" s="103" t="s">
        <v>644</v>
      </c>
      <c r="H37" s="105"/>
      <c r="J37" s="226" t="s">
        <v>635</v>
      </c>
      <c r="K37" s="225"/>
      <c r="L37" s="225"/>
      <c r="M37" s="225"/>
      <c r="N37" s="101"/>
      <c r="O37" s="227" t="s">
        <v>750</v>
      </c>
      <c r="P37" s="227"/>
      <c r="Q37" s="101"/>
      <c r="R37" s="166">
        <f>Sta+Sheet2!$P37</f>
        <v>1</v>
      </c>
    </row>
    <row r="38" spans="1:18" ht="18">
      <c r="A38" s="142" t="s">
        <v>626</v>
      </c>
      <c r="B38" s="150"/>
      <c r="C38" s="151" t="s">
        <v>12</v>
      </c>
      <c r="D38" s="6"/>
      <c r="E38" s="144">
        <v>0</v>
      </c>
      <c r="F38" s="6"/>
      <c r="G38" s="114"/>
      <c r="H38" s="97"/>
      <c r="J38" s="223" t="s">
        <v>650</v>
      </c>
      <c r="K38" s="251"/>
      <c r="L38" s="251" t="s">
        <v>637</v>
      </c>
      <c r="M38" s="251"/>
      <c r="N38" s="114" t="s">
        <v>633</v>
      </c>
      <c r="O38" s="251" t="s">
        <v>638</v>
      </c>
      <c r="P38" s="252"/>
      <c r="Q38" s="252"/>
      <c r="R38" s="253"/>
    </row>
    <row r="39" spans="1:18" ht="18.75">
      <c r="A39" s="142" t="s">
        <v>628</v>
      </c>
      <c r="B39" s="150"/>
      <c r="C39" s="152" t="s">
        <v>13</v>
      </c>
      <c r="D39" s="6"/>
      <c r="E39" s="144">
        <v>0</v>
      </c>
      <c r="F39" s="6"/>
      <c r="G39" s="114" t="s">
        <v>645</v>
      </c>
      <c r="H39" s="97"/>
      <c r="J39" s="116" t="s">
        <v>833</v>
      </c>
      <c r="K39" s="109"/>
      <c r="L39" s="249" t="s">
        <v>639</v>
      </c>
      <c r="M39" s="249"/>
      <c r="N39" s="144">
        <v>-1</v>
      </c>
      <c r="O39" s="251" t="s">
        <v>651</v>
      </c>
      <c r="P39" s="252"/>
      <c r="Q39" s="252"/>
      <c r="R39" s="253"/>
    </row>
    <row r="40" spans="1:18" ht="18.75">
      <c r="A40" s="142" t="s">
        <v>629</v>
      </c>
      <c r="B40" s="150"/>
      <c r="C40" s="152" t="s">
        <v>13</v>
      </c>
      <c r="D40" s="6"/>
      <c r="E40" s="145">
        <v>-1</v>
      </c>
      <c r="F40" s="6"/>
      <c r="G40" s="114" t="s">
        <v>646</v>
      </c>
      <c r="H40" s="97"/>
      <c r="J40" s="116" t="s">
        <v>834</v>
      </c>
      <c r="K40" s="109"/>
      <c r="L40" s="249" t="s">
        <v>640</v>
      </c>
      <c r="M40" s="249"/>
      <c r="N40" s="144">
        <v>-3</v>
      </c>
      <c r="O40" s="251" t="s">
        <v>651</v>
      </c>
      <c r="P40" s="252"/>
      <c r="Q40" s="252"/>
      <c r="R40" s="253"/>
    </row>
    <row r="41" spans="1:18" ht="18.75">
      <c r="A41" s="142" t="s">
        <v>632</v>
      </c>
      <c r="B41" s="150"/>
      <c r="C41" s="152" t="s">
        <v>13</v>
      </c>
      <c r="D41" s="6"/>
      <c r="E41" s="145">
        <v>-3</v>
      </c>
      <c r="F41" s="6"/>
      <c r="G41" s="114" t="s">
        <v>647</v>
      </c>
      <c r="H41" s="97"/>
      <c r="J41" s="116" t="s">
        <v>835</v>
      </c>
      <c r="K41" s="109"/>
      <c r="L41" s="249" t="s">
        <v>641</v>
      </c>
      <c r="M41" s="249"/>
      <c r="N41" s="144">
        <v>-5</v>
      </c>
      <c r="O41" s="251" t="s">
        <v>651</v>
      </c>
      <c r="P41" s="252"/>
      <c r="Q41" s="252"/>
      <c r="R41" s="253"/>
    </row>
    <row r="42" spans="1:18" ht="18.75">
      <c r="A42" s="142" t="s">
        <v>630</v>
      </c>
      <c r="B42" s="150"/>
      <c r="C42" s="152" t="s">
        <v>13</v>
      </c>
      <c r="D42" s="6"/>
      <c r="E42" s="145">
        <v>-5</v>
      </c>
      <c r="F42" s="6"/>
      <c r="G42" s="114" t="s">
        <v>648</v>
      </c>
      <c r="H42" s="97"/>
      <c r="J42" s="116" t="s">
        <v>836</v>
      </c>
      <c r="K42" s="109"/>
      <c r="L42" s="249" t="s">
        <v>642</v>
      </c>
      <c r="M42" s="249"/>
      <c r="N42" s="144" t="s">
        <v>636</v>
      </c>
      <c r="O42" s="251" t="s">
        <v>654</v>
      </c>
      <c r="P42" s="252"/>
      <c r="Q42" s="252"/>
      <c r="R42" s="253"/>
    </row>
    <row r="43" spans="1:18" ht="19.5" thickBot="1">
      <c r="A43" s="147" t="s">
        <v>627</v>
      </c>
      <c r="B43" s="134"/>
      <c r="C43" s="153" t="s">
        <v>13</v>
      </c>
      <c r="D43" s="106"/>
      <c r="E43" s="146" t="s">
        <v>636</v>
      </c>
      <c r="F43" s="106"/>
      <c r="G43" s="107" t="s">
        <v>649</v>
      </c>
      <c r="H43" s="100"/>
      <c r="J43" s="115" t="s">
        <v>837</v>
      </c>
      <c r="K43" s="112"/>
      <c r="L43" s="250" t="s">
        <v>643</v>
      </c>
      <c r="M43" s="250"/>
      <c r="N43" s="146" t="s">
        <v>636</v>
      </c>
      <c r="O43" s="229" t="s">
        <v>652</v>
      </c>
      <c r="P43" s="211"/>
      <c r="Q43" s="211"/>
      <c r="R43" s="212"/>
    </row>
  </sheetData>
  <mergeCells count="80">
    <mergeCell ref="P1:R1"/>
    <mergeCell ref="A12:E12"/>
    <mergeCell ref="A13:E13"/>
    <mergeCell ref="A14:E14"/>
    <mergeCell ref="P9:R9"/>
    <mergeCell ref="P14:R14"/>
    <mergeCell ref="C1:G1"/>
    <mergeCell ref="C2:G2"/>
    <mergeCell ref="C3:G3"/>
    <mergeCell ref="P12:R12"/>
    <mergeCell ref="A15:E15"/>
    <mergeCell ref="A16:E16"/>
    <mergeCell ref="A17:E17"/>
    <mergeCell ref="A18:E18"/>
    <mergeCell ref="A26:C26"/>
    <mergeCell ref="A27:C27"/>
    <mergeCell ref="A25:C25"/>
    <mergeCell ref="A19:E19"/>
    <mergeCell ref="A20:E20"/>
    <mergeCell ref="A21:E21"/>
    <mergeCell ref="A22:E22"/>
    <mergeCell ref="P13:R13"/>
    <mergeCell ref="P2:R2"/>
    <mergeCell ref="O43:R43"/>
    <mergeCell ref="P3:R3"/>
    <mergeCell ref="P4:R4"/>
    <mergeCell ref="P5:R5"/>
    <mergeCell ref="P6:R6"/>
    <mergeCell ref="P7:R7"/>
    <mergeCell ref="P8:R8"/>
    <mergeCell ref="O38:R38"/>
    <mergeCell ref="A34:G34"/>
    <mergeCell ref="J38:K38"/>
    <mergeCell ref="A37:C37"/>
    <mergeCell ref="P35:R35"/>
    <mergeCell ref="L38:M38"/>
    <mergeCell ref="J37:M37"/>
    <mergeCell ref="O37:P37"/>
    <mergeCell ref="L39:M39"/>
    <mergeCell ref="L40:M40"/>
    <mergeCell ref="L41:M41"/>
    <mergeCell ref="O39:R39"/>
    <mergeCell ref="L42:M42"/>
    <mergeCell ref="L43:M43"/>
    <mergeCell ref="O40:R40"/>
    <mergeCell ref="O41:R41"/>
    <mergeCell ref="O42:R42"/>
    <mergeCell ref="P15:R15"/>
    <mergeCell ref="P16:R16"/>
    <mergeCell ref="P17:R17"/>
    <mergeCell ref="P18:R18"/>
    <mergeCell ref="P26:R26"/>
    <mergeCell ref="P19:R19"/>
    <mergeCell ref="P20:R20"/>
    <mergeCell ref="P21:R21"/>
    <mergeCell ref="P22:R22"/>
    <mergeCell ref="J10:M10"/>
    <mergeCell ref="C6:G6"/>
    <mergeCell ref="C9:G9"/>
    <mergeCell ref="P31:R31"/>
    <mergeCell ref="P29:R29"/>
    <mergeCell ref="P28:R28"/>
    <mergeCell ref="P30:R30"/>
    <mergeCell ref="P23:R23"/>
    <mergeCell ref="P24:R24"/>
    <mergeCell ref="P25:R25"/>
    <mergeCell ref="P32:R32"/>
    <mergeCell ref="P33:R33"/>
    <mergeCell ref="P34:R34"/>
    <mergeCell ref="P27:R27"/>
    <mergeCell ref="C4:G4"/>
    <mergeCell ref="C5:G5"/>
    <mergeCell ref="A35:G35"/>
    <mergeCell ref="A30:C30"/>
    <mergeCell ref="A31:C31"/>
    <mergeCell ref="A28:C28"/>
    <mergeCell ref="A29:C29"/>
    <mergeCell ref="A32:C32"/>
    <mergeCell ref="A33:G33"/>
    <mergeCell ref="A23:E23"/>
  </mergeCells>
  <printOptions/>
  <pageMargins left="0.3937007874015748" right="0.3937007874015748" top="0.5905511811023623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workbookViewId="0" topLeftCell="A1">
      <selection activeCell="A34" sqref="A34:C34"/>
    </sheetView>
  </sheetViews>
  <sheetFormatPr defaultColWidth="9.33203125" defaultRowHeight="12.75"/>
  <cols>
    <col min="1" max="1" width="10.5" style="0" customWidth="1"/>
    <col min="2" max="2" width="3.66015625" style="0" customWidth="1"/>
    <col min="3" max="3" width="6.33203125" style="0" customWidth="1"/>
    <col min="4" max="4" width="1.0078125" style="0" customWidth="1"/>
    <col min="5" max="5" width="11.5" style="0" customWidth="1"/>
    <col min="6" max="6" width="1.0078125" style="0" customWidth="1"/>
    <col min="7" max="7" width="7" style="0" customWidth="1"/>
    <col min="8" max="8" width="0.82421875" style="0" customWidth="1"/>
    <col min="9" max="9" width="7.16015625" style="0" customWidth="1"/>
    <col min="10" max="10" width="1.0078125" style="0" customWidth="1"/>
    <col min="11" max="11" width="0.82421875" style="0" customWidth="1"/>
    <col min="12" max="12" width="9" style="0" customWidth="1"/>
    <col min="13" max="13" width="5.5" style="0" customWidth="1"/>
    <col min="14" max="14" width="6.33203125" style="0" customWidth="1"/>
    <col min="15" max="15" width="1.0078125" style="0" customWidth="1"/>
    <col min="16" max="17" width="6" style="0" customWidth="1"/>
    <col min="18" max="18" width="0.82421875" style="0" customWidth="1"/>
    <col min="19" max="19" width="6.33203125" style="0" customWidth="1"/>
    <col min="20" max="20" width="1.3359375" style="0" customWidth="1"/>
  </cols>
  <sheetData>
    <row r="1" spans="1:20" ht="21" thickBot="1">
      <c r="A1" s="277" t="s">
        <v>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102"/>
    </row>
    <row r="2" spans="1:20" ht="18.75">
      <c r="A2" s="271" t="s">
        <v>752</v>
      </c>
      <c r="B2" s="268"/>
      <c r="C2" s="268"/>
      <c r="D2" s="268"/>
      <c r="E2" s="268"/>
      <c r="F2" s="268"/>
      <c r="G2" s="144" t="s">
        <v>610</v>
      </c>
      <c r="H2" s="144"/>
      <c r="I2" s="114" t="s">
        <v>625</v>
      </c>
      <c r="J2" s="6"/>
      <c r="K2" s="271" t="s">
        <v>753</v>
      </c>
      <c r="L2" s="268"/>
      <c r="M2" s="268"/>
      <c r="N2" s="268"/>
      <c r="O2" s="268"/>
      <c r="P2" s="268"/>
      <c r="Q2" s="144" t="s">
        <v>610</v>
      </c>
      <c r="R2" s="144"/>
      <c r="S2" s="114" t="s">
        <v>625</v>
      </c>
      <c r="T2" s="97"/>
    </row>
    <row r="3" spans="1:20" ht="14.25">
      <c r="A3" s="256" t="s">
        <v>757</v>
      </c>
      <c r="B3" s="221"/>
      <c r="C3" s="221"/>
      <c r="D3" s="109"/>
      <c r="E3" s="109"/>
      <c r="F3" s="109"/>
      <c r="G3" s="6"/>
      <c r="H3" s="109"/>
      <c r="I3" s="109"/>
      <c r="J3" s="6"/>
      <c r="K3" s="256" t="s">
        <v>774</v>
      </c>
      <c r="L3" s="221"/>
      <c r="M3" s="221"/>
      <c r="N3" s="109"/>
      <c r="O3" s="109"/>
      <c r="P3" s="109"/>
      <c r="Q3" s="109"/>
      <c r="R3" s="109"/>
      <c r="S3" s="6"/>
      <c r="T3" s="97"/>
    </row>
    <row r="4" spans="1:20" ht="20.25">
      <c r="A4" s="272" t="s">
        <v>754</v>
      </c>
      <c r="B4" s="273"/>
      <c r="C4" s="273"/>
      <c r="D4" s="109"/>
      <c r="E4" s="114" t="s">
        <v>794</v>
      </c>
      <c r="F4" s="109"/>
      <c r="G4" s="172">
        <f>TRUNC((SQRT(8*I4+1)-1)/2)</f>
        <v>0</v>
      </c>
      <c r="H4" s="144"/>
      <c r="I4" s="172"/>
      <c r="J4" s="6"/>
      <c r="K4" s="272" t="s">
        <v>764</v>
      </c>
      <c r="L4" s="273"/>
      <c r="M4" s="273"/>
      <c r="N4" s="251" t="s">
        <v>784</v>
      </c>
      <c r="O4" s="251"/>
      <c r="P4" s="251"/>
      <c r="Q4" s="172">
        <f>TRUNC((SQRT(8*S4+1)-1)/2)</f>
        <v>0</v>
      </c>
      <c r="R4" s="109"/>
      <c r="S4" s="172"/>
      <c r="T4" s="97"/>
    </row>
    <row r="5" spans="1:20" ht="15.75">
      <c r="A5" s="256" t="s">
        <v>758</v>
      </c>
      <c r="B5" s="221"/>
      <c r="C5" s="221"/>
      <c r="D5" s="109"/>
      <c r="E5" s="114"/>
      <c r="F5" s="109"/>
      <c r="G5" s="144"/>
      <c r="H5" s="144"/>
      <c r="I5" s="144"/>
      <c r="J5" s="6"/>
      <c r="K5" s="256" t="s">
        <v>775</v>
      </c>
      <c r="L5" s="221"/>
      <c r="M5" s="221"/>
      <c r="N5" s="114"/>
      <c r="O5" s="6"/>
      <c r="P5" s="109"/>
      <c r="Q5" s="109"/>
      <c r="R5" s="109"/>
      <c r="S5" s="6"/>
      <c r="T5" s="97"/>
    </row>
    <row r="6" spans="1:20" ht="20.25">
      <c r="A6" s="272" t="s">
        <v>762</v>
      </c>
      <c r="B6" s="273"/>
      <c r="C6" s="273"/>
      <c r="D6" s="109"/>
      <c r="E6" s="114" t="s">
        <v>795</v>
      </c>
      <c r="F6" s="109"/>
      <c r="G6" s="172">
        <f>TRUNC((SQRT(8*I6+1)-1)/2)</f>
        <v>0</v>
      </c>
      <c r="H6" s="144"/>
      <c r="I6" s="172"/>
      <c r="J6" s="6"/>
      <c r="K6" s="272" t="s">
        <v>765</v>
      </c>
      <c r="L6" s="273"/>
      <c r="M6" s="273"/>
      <c r="N6" s="251" t="s">
        <v>785</v>
      </c>
      <c r="O6" s="220"/>
      <c r="P6" s="220"/>
      <c r="Q6" s="172">
        <f>TRUNC((SQRT(8*S6+1)-1)/2)</f>
        <v>0</v>
      </c>
      <c r="R6" s="109"/>
      <c r="S6" s="172"/>
      <c r="T6" s="97"/>
    </row>
    <row r="7" spans="1:20" ht="15.75">
      <c r="A7" s="256" t="s">
        <v>759</v>
      </c>
      <c r="B7" s="221"/>
      <c r="C7" s="221"/>
      <c r="D7" s="109"/>
      <c r="E7" s="114"/>
      <c r="F7" s="109"/>
      <c r="G7" s="144"/>
      <c r="H7" s="144"/>
      <c r="I7" s="144"/>
      <c r="J7" s="6"/>
      <c r="K7" s="256" t="s">
        <v>776</v>
      </c>
      <c r="L7" s="221"/>
      <c r="M7" s="221"/>
      <c r="N7" s="114"/>
      <c r="O7" s="6"/>
      <c r="P7" s="109"/>
      <c r="Q7" s="109"/>
      <c r="R7" s="109"/>
      <c r="S7" s="6"/>
      <c r="T7" s="97"/>
    </row>
    <row r="8" spans="1:20" ht="20.25">
      <c r="A8" s="272" t="s">
        <v>763</v>
      </c>
      <c r="B8" s="273"/>
      <c r="C8" s="273"/>
      <c r="D8" s="109"/>
      <c r="E8" s="114" t="s">
        <v>796</v>
      </c>
      <c r="F8" s="109"/>
      <c r="G8" s="172">
        <f>TRUNC((SQRT(8*I8+1)-1)/2)</f>
        <v>0</v>
      </c>
      <c r="H8" s="144"/>
      <c r="I8" s="172"/>
      <c r="J8" s="6"/>
      <c r="K8" s="272" t="s">
        <v>766</v>
      </c>
      <c r="L8" s="273"/>
      <c r="M8" s="273"/>
      <c r="N8" s="251" t="s">
        <v>786</v>
      </c>
      <c r="O8" s="220"/>
      <c r="P8" s="220"/>
      <c r="Q8" s="172">
        <f>TRUNC((SQRT(8*S8+1)-1)/2)</f>
        <v>0</v>
      </c>
      <c r="R8" s="109"/>
      <c r="S8" s="172"/>
      <c r="T8" s="97"/>
    </row>
    <row r="9" spans="1:20" ht="15.75">
      <c r="A9" s="256" t="s">
        <v>760</v>
      </c>
      <c r="B9" s="221"/>
      <c r="C9" s="221"/>
      <c r="D9" s="109"/>
      <c r="E9" s="114"/>
      <c r="F9" s="109"/>
      <c r="G9" s="144"/>
      <c r="H9" s="144"/>
      <c r="I9" s="144"/>
      <c r="J9" s="6"/>
      <c r="K9" s="256" t="s">
        <v>777</v>
      </c>
      <c r="L9" s="221"/>
      <c r="M9" s="221"/>
      <c r="N9" s="114"/>
      <c r="O9" s="6"/>
      <c r="P9" s="109"/>
      <c r="Q9" s="109"/>
      <c r="R9" s="109"/>
      <c r="S9" s="6"/>
      <c r="T9" s="97"/>
    </row>
    <row r="10" spans="1:20" ht="20.25">
      <c r="A10" s="272" t="s">
        <v>755</v>
      </c>
      <c r="B10" s="273"/>
      <c r="C10" s="273"/>
      <c r="D10" s="109"/>
      <c r="E10" s="114" t="s">
        <v>797</v>
      </c>
      <c r="F10" s="109"/>
      <c r="G10" s="172">
        <f>TRUNC((SQRT(8*I10+1)-1)/2)</f>
        <v>0</v>
      </c>
      <c r="H10" s="144"/>
      <c r="I10" s="172"/>
      <c r="J10" s="6"/>
      <c r="K10" s="272" t="s">
        <v>767</v>
      </c>
      <c r="L10" s="273"/>
      <c r="M10" s="273"/>
      <c r="N10" s="251" t="s">
        <v>787</v>
      </c>
      <c r="O10" s="220"/>
      <c r="P10" s="220"/>
      <c r="Q10" s="172">
        <f>TRUNC((SQRT(8*S10+1)-1)/2)</f>
        <v>0</v>
      </c>
      <c r="R10" s="109"/>
      <c r="S10" s="172"/>
      <c r="T10" s="97"/>
    </row>
    <row r="11" spans="1:20" ht="15.75">
      <c r="A11" s="256" t="s">
        <v>761</v>
      </c>
      <c r="B11" s="221"/>
      <c r="C11" s="221"/>
      <c r="D11" s="109"/>
      <c r="E11" s="114"/>
      <c r="F11" s="109"/>
      <c r="G11" s="144"/>
      <c r="H11" s="144"/>
      <c r="I11" s="144"/>
      <c r="J11" s="6"/>
      <c r="K11" s="256" t="s">
        <v>778</v>
      </c>
      <c r="L11" s="221"/>
      <c r="M11" s="221"/>
      <c r="N11" s="114"/>
      <c r="O11" s="6"/>
      <c r="P11" s="109"/>
      <c r="Q11" s="109"/>
      <c r="R11" s="109"/>
      <c r="S11" s="6"/>
      <c r="T11" s="97"/>
    </row>
    <row r="12" spans="1:20" ht="21" thickBot="1">
      <c r="A12" s="269" t="s">
        <v>756</v>
      </c>
      <c r="B12" s="270"/>
      <c r="C12" s="270"/>
      <c r="D12" s="112"/>
      <c r="E12" s="107" t="s">
        <v>798</v>
      </c>
      <c r="F12" s="112"/>
      <c r="G12" s="146">
        <f>TRUNC((SQRT(8*I12+1)-1)/2)</f>
        <v>0</v>
      </c>
      <c r="H12" s="146"/>
      <c r="I12" s="146"/>
      <c r="J12" s="106"/>
      <c r="K12" s="272" t="s">
        <v>768</v>
      </c>
      <c r="L12" s="273"/>
      <c r="M12" s="273"/>
      <c r="N12" s="251" t="s">
        <v>788</v>
      </c>
      <c r="O12" s="220"/>
      <c r="P12" s="220"/>
      <c r="Q12" s="172">
        <f>TRUNC((SQRT(8*S12+1)-1)/2)</f>
        <v>0</v>
      </c>
      <c r="R12" s="109"/>
      <c r="S12" s="172"/>
      <c r="T12" s="97"/>
    </row>
    <row r="13" spans="1:29" ht="15" thickBot="1">
      <c r="A13" s="274" t="s">
        <v>0</v>
      </c>
      <c r="B13" s="275"/>
      <c r="C13" s="275"/>
      <c r="D13" s="275"/>
      <c r="E13" s="275"/>
      <c r="F13" s="275"/>
      <c r="G13" s="275"/>
      <c r="H13" s="275"/>
      <c r="I13" s="275"/>
      <c r="J13" s="276"/>
      <c r="K13" s="256" t="s">
        <v>779</v>
      </c>
      <c r="L13" s="221"/>
      <c r="M13" s="221"/>
      <c r="N13" s="114"/>
      <c r="O13" s="6"/>
      <c r="P13" s="109"/>
      <c r="Q13" s="109"/>
      <c r="R13" s="109"/>
      <c r="S13" s="6"/>
      <c r="T13" s="97"/>
      <c r="AC13" s="109"/>
    </row>
    <row r="14" spans="1:20" ht="20.25">
      <c r="A14" s="262"/>
      <c r="B14" s="263"/>
      <c r="C14" s="263"/>
      <c r="D14" s="263"/>
      <c r="E14" s="263"/>
      <c r="F14" s="263"/>
      <c r="G14" s="263"/>
      <c r="H14" s="263"/>
      <c r="I14" s="263"/>
      <c r="J14" s="97"/>
      <c r="K14" s="272" t="s">
        <v>769</v>
      </c>
      <c r="L14" s="273"/>
      <c r="M14" s="273"/>
      <c r="N14" s="251" t="s">
        <v>789</v>
      </c>
      <c r="O14" s="220"/>
      <c r="P14" s="220"/>
      <c r="Q14" s="172">
        <f>TRUNC((SQRT(8*S14+1)-1)/2)</f>
        <v>0</v>
      </c>
      <c r="R14" s="109"/>
      <c r="S14" s="172"/>
      <c r="T14" s="97"/>
    </row>
    <row r="15" spans="1:20" ht="14.25">
      <c r="A15" s="264"/>
      <c r="B15" s="265"/>
      <c r="C15" s="265"/>
      <c r="D15" s="265"/>
      <c r="E15" s="265"/>
      <c r="F15" s="265"/>
      <c r="G15" s="265"/>
      <c r="H15" s="265"/>
      <c r="I15" s="265"/>
      <c r="J15" s="97"/>
      <c r="K15" s="256" t="s">
        <v>780</v>
      </c>
      <c r="L15" s="221"/>
      <c r="M15" s="221"/>
      <c r="N15" s="114"/>
      <c r="O15" s="6"/>
      <c r="P15" s="109"/>
      <c r="Q15" s="109"/>
      <c r="R15" s="109"/>
      <c r="S15" s="6"/>
      <c r="T15" s="97"/>
    </row>
    <row r="16" spans="1:20" ht="21" thickBot="1">
      <c r="A16" s="266"/>
      <c r="B16" s="267"/>
      <c r="C16" s="267"/>
      <c r="D16" s="267"/>
      <c r="E16" s="267"/>
      <c r="F16" s="267"/>
      <c r="G16" s="267"/>
      <c r="H16" s="267"/>
      <c r="I16" s="267"/>
      <c r="J16" s="100"/>
      <c r="K16" s="272" t="s">
        <v>770</v>
      </c>
      <c r="L16" s="273"/>
      <c r="M16" s="273"/>
      <c r="N16" s="251" t="s">
        <v>790</v>
      </c>
      <c r="O16" s="220"/>
      <c r="P16" s="220"/>
      <c r="Q16" s="172">
        <f>TRUNC((SQRT(8*S16+1)-1)/2)</f>
        <v>0</v>
      </c>
      <c r="R16" s="109"/>
      <c r="S16" s="172"/>
      <c r="T16" s="97"/>
    </row>
    <row r="17" spans="1:20" ht="16.5">
      <c r="A17" s="279" t="s">
        <v>839</v>
      </c>
      <c r="B17" s="280"/>
      <c r="C17" s="180">
        <v>0</v>
      </c>
      <c r="D17" s="108"/>
      <c r="E17" s="171" t="s">
        <v>840</v>
      </c>
      <c r="F17" s="113"/>
      <c r="G17" s="180">
        <v>0</v>
      </c>
      <c r="H17" s="133"/>
      <c r="I17" s="181"/>
      <c r="J17" s="105"/>
      <c r="K17" s="256" t="s">
        <v>781</v>
      </c>
      <c r="L17" s="221"/>
      <c r="M17" s="221"/>
      <c r="N17" s="114"/>
      <c r="O17" s="6"/>
      <c r="P17" s="109"/>
      <c r="Q17" s="109"/>
      <c r="R17" s="109"/>
      <c r="S17" s="6"/>
      <c r="T17" s="97"/>
    </row>
    <row r="18" spans="1:20" ht="21">
      <c r="A18" s="218" t="s">
        <v>808</v>
      </c>
      <c r="B18" s="281"/>
      <c r="C18" s="179">
        <f>C17*10</f>
        <v>0</v>
      </c>
      <c r="D18" s="109"/>
      <c r="E18" s="219" t="s">
        <v>841</v>
      </c>
      <c r="F18" s="219"/>
      <c r="G18" s="219"/>
      <c r="H18" s="6"/>
      <c r="I18" s="69">
        <f>(Sheet1!L5)+(Sheet1!L27)</f>
        <v>-1</v>
      </c>
      <c r="J18" s="97"/>
      <c r="K18" s="272" t="s">
        <v>771</v>
      </c>
      <c r="L18" s="273"/>
      <c r="M18" s="273"/>
      <c r="N18" s="251" t="s">
        <v>791</v>
      </c>
      <c r="O18" s="220"/>
      <c r="P18" s="220"/>
      <c r="Q18" s="172">
        <f>TRUNC((SQRT(8*S18+1)-1)/2)</f>
        <v>0</v>
      </c>
      <c r="R18" s="109"/>
      <c r="S18" s="172"/>
      <c r="T18" s="97"/>
    </row>
    <row r="19" spans="1:20" ht="15.75">
      <c r="A19" s="218" t="s">
        <v>842</v>
      </c>
      <c r="B19" s="219"/>
      <c r="C19" s="219"/>
      <c r="D19" s="6"/>
      <c r="E19" s="12">
        <f>(Sheet1!L5)+(Sheet1!L21)</f>
        <v>-2</v>
      </c>
      <c r="F19" s="6"/>
      <c r="G19" s="219" t="s">
        <v>843</v>
      </c>
      <c r="H19" s="219"/>
      <c r="I19" s="12">
        <f>(Sheet1!L5)+(Sheet1!L17)</f>
        <v>1</v>
      </c>
      <c r="J19" s="97"/>
      <c r="K19" s="256" t="s">
        <v>782</v>
      </c>
      <c r="L19" s="221"/>
      <c r="M19" s="221"/>
      <c r="N19" s="114"/>
      <c r="O19" s="6"/>
      <c r="P19" s="109"/>
      <c r="Q19" s="109"/>
      <c r="R19" s="109"/>
      <c r="S19" s="6"/>
      <c r="T19" s="97"/>
    </row>
    <row r="20" spans="1:20" ht="20.25">
      <c r="A20" s="218" t="s">
        <v>844</v>
      </c>
      <c r="B20" s="219"/>
      <c r="C20" s="220"/>
      <c r="D20" s="6"/>
      <c r="E20" s="12">
        <f>(Sheet1!L20)+C17</f>
        <v>2</v>
      </c>
      <c r="F20" s="144"/>
      <c r="G20" s="221" t="s">
        <v>845</v>
      </c>
      <c r="H20" s="222"/>
      <c r="I20" s="222"/>
      <c r="J20" s="97"/>
      <c r="K20" s="272" t="s">
        <v>772</v>
      </c>
      <c r="L20" s="273"/>
      <c r="M20" s="273"/>
      <c r="N20" s="251" t="s">
        <v>792</v>
      </c>
      <c r="O20" s="220"/>
      <c r="P20" s="220"/>
      <c r="Q20" s="172">
        <f>TRUNC((SQRT(8*S20+1)-1)/2)</f>
        <v>0</v>
      </c>
      <c r="R20" s="109"/>
      <c r="S20" s="172"/>
      <c r="T20" s="97"/>
    </row>
    <row r="21" spans="1:21" ht="15.75">
      <c r="A21" s="218" t="s">
        <v>846</v>
      </c>
      <c r="B21" s="219"/>
      <c r="C21" s="220"/>
      <c r="D21" s="6"/>
      <c r="E21" s="12">
        <f>(Sheet1!L4)+C17</f>
        <v>-1</v>
      </c>
      <c r="F21" s="144"/>
      <c r="G21" s="221" t="s">
        <v>847</v>
      </c>
      <c r="H21" s="222"/>
      <c r="I21" s="222"/>
      <c r="J21" s="97"/>
      <c r="K21" s="256" t="s">
        <v>783</v>
      </c>
      <c r="L21" s="221"/>
      <c r="M21" s="221"/>
      <c r="N21" s="114"/>
      <c r="O21" s="6"/>
      <c r="P21" s="109"/>
      <c r="Q21" s="109"/>
      <c r="R21" s="109"/>
      <c r="S21" s="6"/>
      <c r="T21" s="97"/>
      <c r="U21" s="132" t="s">
        <v>805</v>
      </c>
    </row>
    <row r="22" spans="1:21" ht="21" thickBot="1">
      <c r="A22" s="297" t="s">
        <v>848</v>
      </c>
      <c r="B22" s="298"/>
      <c r="C22" s="254"/>
      <c r="D22" s="106"/>
      <c r="E22" s="168">
        <f>(Sheet1!L5)+(Sheet1!L27)</f>
        <v>-1</v>
      </c>
      <c r="F22" s="146"/>
      <c r="G22" s="259" t="s">
        <v>849</v>
      </c>
      <c r="H22" s="260"/>
      <c r="I22" s="260"/>
      <c r="J22" s="100"/>
      <c r="K22" s="269" t="s">
        <v>773</v>
      </c>
      <c r="L22" s="270"/>
      <c r="M22" s="270"/>
      <c r="N22" s="229" t="s">
        <v>793</v>
      </c>
      <c r="O22" s="254"/>
      <c r="P22" s="254"/>
      <c r="Q22" s="146">
        <f>TRUNC((SQRT(8*S22+1)-1)/2)</f>
        <v>0</v>
      </c>
      <c r="R22" s="106"/>
      <c r="S22" s="146"/>
      <c r="T22" s="100"/>
      <c r="U22">
        <f>SUM(I4:I12)+SUM(S4:S22)</f>
        <v>0</v>
      </c>
    </row>
    <row r="23" spans="1:20" ht="19.5" thickBot="1">
      <c r="A23" s="226" t="s">
        <v>799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93"/>
    </row>
    <row r="24" spans="1:20" ht="12.75">
      <c r="A24" s="294"/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95"/>
    </row>
    <row r="25" spans="1:20" ht="12.75">
      <c r="A25" s="264"/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7"/>
    </row>
    <row r="26" spans="1:20" ht="12.75">
      <c r="A26" s="264"/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7"/>
    </row>
    <row r="27" spans="1:20" ht="12.75">
      <c r="A27" s="264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7"/>
    </row>
    <row r="28" spans="1:20" ht="13.5" thickBot="1">
      <c r="A28" s="266"/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88"/>
    </row>
    <row r="29" s="182" customFormat="1" ht="9" thickBot="1"/>
    <row r="30" spans="1:20" ht="18.75">
      <c r="A30" s="299" t="s">
        <v>659</v>
      </c>
      <c r="B30" s="300"/>
      <c r="C30" s="300"/>
      <c r="D30" s="257" t="s">
        <v>666</v>
      </c>
      <c r="E30" s="258"/>
      <c r="F30" s="257" t="s">
        <v>665</v>
      </c>
      <c r="G30" s="258"/>
      <c r="H30" s="258"/>
      <c r="I30" s="257" t="s">
        <v>661</v>
      </c>
      <c r="J30" s="257"/>
      <c r="K30" s="257" t="s">
        <v>660</v>
      </c>
      <c r="L30" s="258"/>
      <c r="M30" s="257" t="s">
        <v>662</v>
      </c>
      <c r="N30" s="258"/>
      <c r="O30" s="257" t="s">
        <v>663</v>
      </c>
      <c r="P30" s="257"/>
      <c r="Q30" s="257" t="s">
        <v>664</v>
      </c>
      <c r="R30" s="257"/>
      <c r="S30" s="258"/>
      <c r="T30" s="282"/>
    </row>
    <row r="31" spans="1:20" ht="17.25">
      <c r="A31" s="296" t="s">
        <v>746</v>
      </c>
      <c r="B31" s="284"/>
      <c r="C31" s="284"/>
      <c r="D31" s="255">
        <f>Sheet1!$L$35</f>
        <v>4</v>
      </c>
      <c r="E31" s="255"/>
      <c r="F31" s="255">
        <f>VLOOKUP($A31,WeaponTable,2,FALSE)+Qui-S40</f>
        <v>2</v>
      </c>
      <c r="G31" s="255"/>
      <c r="H31" s="261"/>
      <c r="I31" s="255">
        <f>VLOOKUP($A31,WeaponTable,3,FALSE)+Dex+D31</f>
        <v>4</v>
      </c>
      <c r="J31" s="255"/>
      <c r="K31" s="255">
        <f>VLOOKUP($A31,WeaponTable,4,FALSE)+Qui+D31</f>
        <v>6</v>
      </c>
      <c r="L31" s="255"/>
      <c r="M31" s="255">
        <f>VLOOKUP($A31,WeaponTable,5,FALSE)+Str</f>
        <v>2</v>
      </c>
      <c r="N31" s="255"/>
      <c r="O31" s="284" t="str">
        <f>VLOOKUP($A31,WeaponTable,8,FALSE)</f>
        <v>近接</v>
      </c>
      <c r="P31" s="284"/>
      <c r="Q31" s="255">
        <f>VLOOKUP($A31,WeaponTable,6,FALSE)</f>
        <v>0</v>
      </c>
      <c r="R31" s="255"/>
      <c r="S31" s="255"/>
      <c r="T31" s="283"/>
    </row>
    <row r="32" spans="1:20" ht="17.25">
      <c r="A32" s="296" t="s">
        <v>875</v>
      </c>
      <c r="B32" s="284"/>
      <c r="C32" s="284"/>
      <c r="D32" s="255">
        <v>4</v>
      </c>
      <c r="E32" s="255"/>
      <c r="F32" s="255">
        <f>VLOOKUP($A32,WeaponTable,2,FALSE)+Qui-S40</f>
        <v>2</v>
      </c>
      <c r="G32" s="255"/>
      <c r="H32" s="261"/>
      <c r="I32" s="255">
        <f>VLOOKUP($A32,WeaponTable,3,FALSE)+Dex+D32</f>
        <v>6</v>
      </c>
      <c r="J32" s="255"/>
      <c r="K32" s="255">
        <f>VLOOKUP($A32,WeaponTable,4,FALSE)+Qui+D32</f>
        <v>6</v>
      </c>
      <c r="L32" s="255"/>
      <c r="M32" s="255">
        <f>VLOOKUP($A32,WeaponTable,5,FALSE)+Str</f>
        <v>5</v>
      </c>
      <c r="N32" s="255"/>
      <c r="O32" s="284" t="str">
        <f>VLOOKUP($A32,WeaponTable,8,FALSE)</f>
        <v>近接</v>
      </c>
      <c r="P32" s="284"/>
      <c r="Q32" s="255">
        <f>VLOOKUP($A32,WeaponTable,6,FALSE)</f>
        <v>0</v>
      </c>
      <c r="R32" s="255"/>
      <c r="S32" s="255"/>
      <c r="T32" s="283"/>
    </row>
    <row r="33" spans="1:20" ht="17.25">
      <c r="A33" s="296"/>
      <c r="B33" s="284"/>
      <c r="C33" s="284"/>
      <c r="D33" s="255"/>
      <c r="E33" s="255"/>
      <c r="F33" s="255"/>
      <c r="G33" s="255"/>
      <c r="H33" s="261"/>
      <c r="I33" s="255"/>
      <c r="J33" s="255"/>
      <c r="K33" s="255"/>
      <c r="L33" s="255"/>
      <c r="M33" s="255"/>
      <c r="N33" s="255"/>
      <c r="O33" s="284"/>
      <c r="P33" s="284"/>
      <c r="Q33" s="255"/>
      <c r="R33" s="255"/>
      <c r="S33" s="255"/>
      <c r="T33" s="283"/>
    </row>
    <row r="34" spans="1:22" ht="18" thickBot="1">
      <c r="A34" s="290" t="s">
        <v>878</v>
      </c>
      <c r="B34" s="291"/>
      <c r="C34" s="292"/>
      <c r="D34" s="255">
        <v>4</v>
      </c>
      <c r="E34" s="255"/>
      <c r="F34" s="255">
        <v>4</v>
      </c>
      <c r="G34" s="255"/>
      <c r="H34" s="261"/>
      <c r="I34" s="255">
        <f>4+1+D34</f>
        <v>9</v>
      </c>
      <c r="J34" s="255"/>
      <c r="K34" s="255">
        <f>2+4+D32</f>
        <v>10</v>
      </c>
      <c r="L34" s="255"/>
      <c r="M34" s="255">
        <f>1+2</f>
        <v>3</v>
      </c>
      <c r="N34" s="255"/>
      <c r="O34" s="284" t="s">
        <v>879</v>
      </c>
      <c r="P34" s="284"/>
      <c r="Q34" s="255">
        <v>0</v>
      </c>
      <c r="R34" s="255"/>
      <c r="S34" s="255"/>
      <c r="T34" s="283"/>
      <c r="U34" s="177" t="s">
        <v>653</v>
      </c>
      <c r="V34" s="178">
        <f>Sheet1!$T$35</f>
        <v>589</v>
      </c>
    </row>
    <row r="35" spans="1:22" ht="18.75">
      <c r="A35" s="226" t="s">
        <v>739</v>
      </c>
      <c r="B35" s="215"/>
      <c r="C35" s="215"/>
      <c r="D35" s="133"/>
      <c r="E35" s="133"/>
      <c r="F35" s="133"/>
      <c r="G35" s="227" t="s">
        <v>743</v>
      </c>
      <c r="H35" s="227"/>
      <c r="I35" s="227"/>
      <c r="J35" s="227"/>
      <c r="K35" s="133"/>
      <c r="L35" s="166"/>
      <c r="M35" s="268" t="s">
        <v>740</v>
      </c>
      <c r="N35" s="220"/>
      <c r="O35" s="6"/>
      <c r="P35" s="251" t="s">
        <v>741</v>
      </c>
      <c r="Q35" s="251"/>
      <c r="R35" s="251"/>
      <c r="S35" s="251"/>
      <c r="T35" s="97"/>
      <c r="U35" s="177" t="s">
        <v>806</v>
      </c>
      <c r="V35" s="178">
        <f>U22</f>
        <v>0</v>
      </c>
    </row>
    <row r="36" spans="1:22" ht="16.5">
      <c r="A36" s="285" t="s">
        <v>876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7"/>
      <c r="M36" s="6"/>
      <c r="N36" s="242"/>
      <c r="O36" s="242"/>
      <c r="P36" s="242"/>
      <c r="Q36" s="242"/>
      <c r="R36" s="242"/>
      <c r="S36" s="242"/>
      <c r="T36" s="97"/>
      <c r="U36" s="177" t="s">
        <v>831</v>
      </c>
      <c r="V36" s="178">
        <f>Sheet3!$AB$47</f>
        <v>0</v>
      </c>
    </row>
    <row r="37" spans="1:22" ht="16.5" thickBot="1">
      <c r="A37" s="264"/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7"/>
      <c r="M37" s="229" t="s">
        <v>742</v>
      </c>
      <c r="N37" s="254"/>
      <c r="O37" s="254"/>
      <c r="P37" s="167"/>
      <c r="Q37" s="118" t="s">
        <v>601</v>
      </c>
      <c r="R37" s="118"/>
      <c r="S37" s="168"/>
      <c r="T37" s="100"/>
      <c r="U37" s="177" t="s">
        <v>832</v>
      </c>
      <c r="V37" s="178">
        <f>SUM(V34:V36)</f>
        <v>589</v>
      </c>
    </row>
    <row r="38" spans="1:20" ht="14.25">
      <c r="A38" s="264"/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7"/>
      <c r="M38" s="227" t="s">
        <v>744</v>
      </c>
      <c r="N38" s="225"/>
      <c r="O38" s="225"/>
      <c r="P38" s="225"/>
      <c r="Q38" s="225"/>
      <c r="R38" s="101"/>
      <c r="S38" s="169">
        <f>SUM(Q31:Q34)+S37+L35</f>
        <v>0</v>
      </c>
      <c r="T38" s="105"/>
    </row>
    <row r="39" spans="1:22" ht="14.25">
      <c r="A39" s="264"/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7"/>
      <c r="M39" s="251" t="s">
        <v>749</v>
      </c>
      <c r="N39" s="289"/>
      <c r="O39" s="289"/>
      <c r="P39" s="289"/>
      <c r="Q39" s="289"/>
      <c r="R39" s="4"/>
      <c r="S39" s="104">
        <f>IF(Str&lt;1,TRUNC((SQRT(8*S38+1)-1)/2),TRUNC(MIN((TRUNC((SQRT(8*S38+1)-1)/2))-Str,0)))</f>
        <v>-2</v>
      </c>
      <c r="T39" s="97"/>
      <c r="U39" s="177" t="s">
        <v>830</v>
      </c>
      <c r="V39" s="178">
        <f>Sheet3!$AB$46</f>
        <v>0</v>
      </c>
    </row>
    <row r="40" spans="1:20" ht="14.25">
      <c r="A40" s="264"/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7"/>
      <c r="M40" s="251" t="s">
        <v>748</v>
      </c>
      <c r="N40" s="289"/>
      <c r="O40" s="289"/>
      <c r="P40" s="289"/>
      <c r="Q40" s="289"/>
      <c r="R40" s="4"/>
      <c r="S40" s="104">
        <f>IF(Str&lt;1,TRUNC((SQRT(8*L35+1)-1)/2),TRUNC(MIN(Str-(TRUNC((SQRT(8*L35+1)-1)/2)),0)))</f>
        <v>0</v>
      </c>
      <c r="T40" s="97"/>
    </row>
    <row r="41" spans="1:22" ht="15" thickBot="1">
      <c r="A41" s="266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88"/>
      <c r="M41" s="229" t="s">
        <v>745</v>
      </c>
      <c r="N41" s="254"/>
      <c r="O41" s="254"/>
      <c r="P41" s="254"/>
      <c r="Q41" s="254"/>
      <c r="R41" s="118"/>
      <c r="S41" s="107">
        <f>Sta-Load</f>
        <v>3</v>
      </c>
      <c r="T41" s="100"/>
      <c r="U41" s="177" t="s">
        <v>807</v>
      </c>
      <c r="V41">
        <f>V37+V39</f>
        <v>589</v>
      </c>
    </row>
  </sheetData>
  <mergeCells count="109">
    <mergeCell ref="A21:C21"/>
    <mergeCell ref="A22:C22"/>
    <mergeCell ref="A32:C32"/>
    <mergeCell ref="D32:E32"/>
    <mergeCell ref="D31:E31"/>
    <mergeCell ref="A30:C30"/>
    <mergeCell ref="A31:C31"/>
    <mergeCell ref="D30:E30"/>
    <mergeCell ref="I31:J31"/>
    <mergeCell ref="K31:L31"/>
    <mergeCell ref="M31:N31"/>
    <mergeCell ref="O31:P31"/>
    <mergeCell ref="D33:E33"/>
    <mergeCell ref="K32:L32"/>
    <mergeCell ref="M32:N32"/>
    <mergeCell ref="O32:P32"/>
    <mergeCell ref="M37:O37"/>
    <mergeCell ref="A34:C34"/>
    <mergeCell ref="D34:E34"/>
    <mergeCell ref="A23:T23"/>
    <mergeCell ref="A24:T28"/>
    <mergeCell ref="K33:L33"/>
    <mergeCell ref="M33:N33"/>
    <mergeCell ref="O33:P33"/>
    <mergeCell ref="Q33:T33"/>
    <mergeCell ref="A33:C33"/>
    <mergeCell ref="I30:J30"/>
    <mergeCell ref="A35:C35"/>
    <mergeCell ref="P35:S35"/>
    <mergeCell ref="N36:S36"/>
    <mergeCell ref="A36:L41"/>
    <mergeCell ref="G35:J35"/>
    <mergeCell ref="M38:Q38"/>
    <mergeCell ref="M39:Q39"/>
    <mergeCell ref="M40:Q40"/>
    <mergeCell ref="M41:Q41"/>
    <mergeCell ref="Q32:T32"/>
    <mergeCell ref="K34:L34"/>
    <mergeCell ref="M34:N34"/>
    <mergeCell ref="O34:P34"/>
    <mergeCell ref="Q34:T34"/>
    <mergeCell ref="A1:S1"/>
    <mergeCell ref="I32:J32"/>
    <mergeCell ref="F30:H30"/>
    <mergeCell ref="F31:H31"/>
    <mergeCell ref="F32:H32"/>
    <mergeCell ref="A17:B17"/>
    <mergeCell ref="A18:B18"/>
    <mergeCell ref="E18:G18"/>
    <mergeCell ref="Q30:T30"/>
    <mergeCell ref="Q31:T31"/>
    <mergeCell ref="A10:C10"/>
    <mergeCell ref="A3:C3"/>
    <mergeCell ref="A4:C4"/>
    <mergeCell ref="A5:C5"/>
    <mergeCell ref="A6:C6"/>
    <mergeCell ref="K8:M8"/>
    <mergeCell ref="K9:M9"/>
    <mergeCell ref="A7:C7"/>
    <mergeCell ref="A8:C8"/>
    <mergeCell ref="A9:C9"/>
    <mergeCell ref="K11:M11"/>
    <mergeCell ref="K12:M12"/>
    <mergeCell ref="K13:M13"/>
    <mergeCell ref="A11:C11"/>
    <mergeCell ref="A13:J13"/>
    <mergeCell ref="K14:M14"/>
    <mergeCell ref="K15:M15"/>
    <mergeCell ref="K16:M16"/>
    <mergeCell ref="K17:M17"/>
    <mergeCell ref="N18:P18"/>
    <mergeCell ref="K18:M18"/>
    <mergeCell ref="K19:M19"/>
    <mergeCell ref="K20:M20"/>
    <mergeCell ref="N20:P20"/>
    <mergeCell ref="A2:F2"/>
    <mergeCell ref="K2:P2"/>
    <mergeCell ref="N4:P4"/>
    <mergeCell ref="N10:P10"/>
    <mergeCell ref="K10:M10"/>
    <mergeCell ref="K3:M3"/>
    <mergeCell ref="K4:M4"/>
    <mergeCell ref="K5:M5"/>
    <mergeCell ref="K6:M6"/>
    <mergeCell ref="K7:M7"/>
    <mergeCell ref="A14:I16"/>
    <mergeCell ref="M35:N35"/>
    <mergeCell ref="O30:P30"/>
    <mergeCell ref="N6:P6"/>
    <mergeCell ref="N8:P8"/>
    <mergeCell ref="A12:C12"/>
    <mergeCell ref="K22:M22"/>
    <mergeCell ref="N12:P12"/>
    <mergeCell ref="N14:P14"/>
    <mergeCell ref="N16:P16"/>
    <mergeCell ref="N22:P22"/>
    <mergeCell ref="I34:J34"/>
    <mergeCell ref="I33:J33"/>
    <mergeCell ref="K21:M21"/>
    <mergeCell ref="K30:L30"/>
    <mergeCell ref="M30:N30"/>
    <mergeCell ref="G21:I21"/>
    <mergeCell ref="G22:I22"/>
    <mergeCell ref="F33:H33"/>
    <mergeCell ref="F34:H34"/>
    <mergeCell ref="A19:C19"/>
    <mergeCell ref="G19:H19"/>
    <mergeCell ref="A20:C20"/>
    <mergeCell ref="G20:I2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workbookViewId="0" topLeftCell="A1">
      <selection activeCell="B31" sqref="B31:L31"/>
    </sheetView>
  </sheetViews>
  <sheetFormatPr defaultColWidth="9.33203125" defaultRowHeight="12.75"/>
  <cols>
    <col min="1" max="1" width="1.0078125" style="0" customWidth="1"/>
    <col min="2" max="2" width="3.33203125" style="0" customWidth="1"/>
    <col min="3" max="3" width="1.0078125" style="0" customWidth="1"/>
    <col min="5" max="5" width="1.0078125" style="0" customWidth="1"/>
    <col min="6" max="6" width="4.33203125" style="0" customWidth="1"/>
    <col min="7" max="7" width="1.3359375" style="0" customWidth="1"/>
    <col min="9" max="9" width="0.82421875" style="0" customWidth="1"/>
    <col min="10" max="10" width="4.16015625" style="0" customWidth="1"/>
    <col min="11" max="11" width="1.5" style="0" customWidth="1"/>
    <col min="13" max="13" width="0.82421875" style="0" customWidth="1"/>
    <col min="14" max="14" width="1.0078125" style="0" customWidth="1"/>
    <col min="15" max="15" width="3.66015625" style="0" customWidth="1"/>
    <col min="16" max="16" width="0.65625" style="0" customWidth="1"/>
    <col min="17" max="17" width="9.5" style="0" customWidth="1"/>
    <col min="18" max="18" width="1.171875" style="0" customWidth="1"/>
    <col min="19" max="19" width="4.66015625" style="0" customWidth="1"/>
    <col min="20" max="20" width="1.3359375" style="0" customWidth="1"/>
    <col min="22" max="22" width="0.82421875" style="0" customWidth="1"/>
    <col min="23" max="23" width="3.83203125" style="0" customWidth="1"/>
    <col min="24" max="24" width="1.66796875" style="0" customWidth="1"/>
    <col min="26" max="26" width="0.82421875" style="0" customWidth="1"/>
  </cols>
  <sheetData>
    <row r="1" spans="4:24" s="182" customFormat="1" ht="8.25">
      <c r="D1" s="301" t="s">
        <v>829</v>
      </c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</row>
    <row r="2" spans="4:24" s="182" customFormat="1" ht="9" thickBot="1"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</row>
    <row r="3" s="182" customFormat="1" ht="9" thickBot="1"/>
    <row r="4" spans="1:26" s="194" customFormat="1" ht="17.25">
      <c r="A4" s="202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203"/>
      <c r="N4" s="202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203"/>
    </row>
    <row r="5" spans="1:26" s="194" customFormat="1" ht="17.25">
      <c r="A5" s="197"/>
      <c r="B5" s="141" t="s">
        <v>826</v>
      </c>
      <c r="C5" s="144"/>
      <c r="D5" s="195"/>
      <c r="E5" s="198"/>
      <c r="F5" s="195"/>
      <c r="G5" s="198"/>
      <c r="H5" s="196" t="s">
        <v>827</v>
      </c>
      <c r="I5" s="196"/>
      <c r="J5" s="195">
        <f>Sta-Load+D7+Creo+Animal</f>
        <v>3</v>
      </c>
      <c r="K5" s="198" t="s">
        <v>828</v>
      </c>
      <c r="L5" s="195">
        <f>Sheet1!$L$20-F5</f>
        <v>2</v>
      </c>
      <c r="M5" s="199"/>
      <c r="N5" s="197"/>
      <c r="O5" s="141" t="s">
        <v>826</v>
      </c>
      <c r="P5" s="144"/>
      <c r="Q5" s="195"/>
      <c r="R5" s="198"/>
      <c r="S5" s="195"/>
      <c r="T5" s="198"/>
      <c r="U5" s="196" t="s">
        <v>827</v>
      </c>
      <c r="V5" s="196"/>
      <c r="W5" s="195">
        <f>Sta-Load+Q7</f>
        <v>3</v>
      </c>
      <c r="X5" s="198" t="s">
        <v>828</v>
      </c>
      <c r="Y5" s="195">
        <f>Sheet1!$L$20-S5</f>
        <v>2</v>
      </c>
      <c r="Z5" s="199"/>
    </row>
    <row r="6" spans="1:26" ht="16.5">
      <c r="A6" s="200"/>
      <c r="B6" s="183" t="s">
        <v>819</v>
      </c>
      <c r="C6" s="183"/>
      <c r="D6" s="136"/>
      <c r="E6" s="183"/>
      <c r="F6" s="183" t="s">
        <v>820</v>
      </c>
      <c r="G6" s="183"/>
      <c r="H6" s="136"/>
      <c r="I6" s="183"/>
      <c r="J6" s="183" t="s">
        <v>821</v>
      </c>
      <c r="K6" s="183"/>
      <c r="L6" s="136"/>
      <c r="M6" s="97"/>
      <c r="N6" s="200"/>
      <c r="O6" s="183" t="s">
        <v>819</v>
      </c>
      <c r="P6" s="183"/>
      <c r="Q6" s="136"/>
      <c r="R6" s="183"/>
      <c r="S6" s="183" t="s">
        <v>820</v>
      </c>
      <c r="T6" s="183"/>
      <c r="U6" s="136"/>
      <c r="V6" s="183"/>
      <c r="W6" s="183" t="s">
        <v>821</v>
      </c>
      <c r="X6" s="183"/>
      <c r="Y6" s="136"/>
      <c r="Z6" s="97"/>
    </row>
    <row r="7" spans="1:26" ht="17.25">
      <c r="A7" s="200"/>
      <c r="B7" s="183" t="s">
        <v>825</v>
      </c>
      <c r="C7" s="6"/>
      <c r="D7" s="193">
        <f>TRUNC((SQRT(8*(F7/5)+1)-1)/2)</f>
        <v>0</v>
      </c>
      <c r="E7" s="6" t="s">
        <v>823</v>
      </c>
      <c r="F7" s="11"/>
      <c r="G7" s="6" t="s">
        <v>824</v>
      </c>
      <c r="H7" s="238"/>
      <c r="I7" s="238"/>
      <c r="J7" s="238"/>
      <c r="K7" s="238"/>
      <c r="L7" s="238"/>
      <c r="M7" s="97"/>
      <c r="N7" s="200"/>
      <c r="O7" s="183" t="s">
        <v>825</v>
      </c>
      <c r="P7" s="6"/>
      <c r="Q7" s="193">
        <f>TRUNC((SQRT(8*(S7/5)+1)-1)/2)</f>
        <v>0</v>
      </c>
      <c r="R7" s="6" t="s">
        <v>823</v>
      </c>
      <c r="S7" s="11"/>
      <c r="T7" s="6" t="s">
        <v>824</v>
      </c>
      <c r="U7" s="238"/>
      <c r="V7" s="238"/>
      <c r="W7" s="238"/>
      <c r="X7" s="238"/>
      <c r="Y7" s="238"/>
      <c r="Z7" s="97"/>
    </row>
    <row r="8" spans="1:26" ht="12.75" customHeight="1">
      <c r="A8" s="200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97"/>
      <c r="N8" s="200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97"/>
    </row>
    <row r="9" spans="1:26" ht="12.75" customHeight="1">
      <c r="A9" s="200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97"/>
      <c r="N9" s="200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97"/>
    </row>
    <row r="10" spans="1:26" ht="12.75" customHeight="1">
      <c r="A10" s="200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97"/>
      <c r="N10" s="200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97"/>
    </row>
    <row r="11" spans="1:26" ht="12.75" customHeight="1">
      <c r="A11" s="200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97"/>
      <c r="N11" s="200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97"/>
    </row>
    <row r="12" spans="1:26" ht="13.5" thickBot="1">
      <c r="A12" s="201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100"/>
      <c r="N12" s="201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100"/>
    </row>
    <row r="13" spans="1:26" s="194" customFormat="1" ht="17.25">
      <c r="A13" s="202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203"/>
      <c r="N13" s="202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203"/>
    </row>
    <row r="14" spans="1:26" ht="17.25">
      <c r="A14" s="197"/>
      <c r="B14" s="141" t="s">
        <v>826</v>
      </c>
      <c r="C14" s="144"/>
      <c r="D14" s="195"/>
      <c r="E14" s="198"/>
      <c r="F14" s="195"/>
      <c r="G14" s="198"/>
      <c r="H14" s="196" t="s">
        <v>827</v>
      </c>
      <c r="I14" s="196"/>
      <c r="J14" s="195">
        <f>Sta-Load+D16</f>
        <v>3</v>
      </c>
      <c r="K14" s="198" t="s">
        <v>828</v>
      </c>
      <c r="L14" s="195">
        <f>Sheet1!$L$20-F14</f>
        <v>2</v>
      </c>
      <c r="M14" s="199"/>
      <c r="N14" s="197"/>
      <c r="O14" s="141" t="s">
        <v>826</v>
      </c>
      <c r="P14" s="144"/>
      <c r="Q14" s="195"/>
      <c r="R14" s="198"/>
      <c r="S14" s="195"/>
      <c r="T14" s="198"/>
      <c r="U14" s="196" t="s">
        <v>827</v>
      </c>
      <c r="V14" s="196"/>
      <c r="W14" s="195">
        <f>Sta-Load+Q16</f>
        <v>3</v>
      </c>
      <c r="X14" s="198" t="s">
        <v>828</v>
      </c>
      <c r="Y14" s="195">
        <f>Sheet1!$L$20-S14</f>
        <v>2</v>
      </c>
      <c r="Z14" s="199"/>
    </row>
    <row r="15" spans="1:26" ht="16.5">
      <c r="A15" s="200"/>
      <c r="B15" s="183" t="s">
        <v>819</v>
      </c>
      <c r="C15" s="183"/>
      <c r="D15" s="136"/>
      <c r="E15" s="183"/>
      <c r="F15" s="183" t="s">
        <v>820</v>
      </c>
      <c r="G15" s="183"/>
      <c r="H15" s="136"/>
      <c r="I15" s="183"/>
      <c r="J15" s="183" t="s">
        <v>821</v>
      </c>
      <c r="K15" s="183"/>
      <c r="L15" s="136"/>
      <c r="M15" s="97"/>
      <c r="N15" s="200"/>
      <c r="O15" s="183" t="s">
        <v>819</v>
      </c>
      <c r="P15" s="183"/>
      <c r="Q15" s="136"/>
      <c r="R15" s="183"/>
      <c r="S15" s="183" t="s">
        <v>820</v>
      </c>
      <c r="T15" s="183"/>
      <c r="U15" s="136"/>
      <c r="V15" s="183"/>
      <c r="W15" s="183" t="s">
        <v>821</v>
      </c>
      <c r="X15" s="183"/>
      <c r="Y15" s="136"/>
      <c r="Z15" s="97"/>
    </row>
    <row r="16" spans="1:26" ht="17.25">
      <c r="A16" s="200"/>
      <c r="B16" s="183" t="s">
        <v>825</v>
      </c>
      <c r="C16" s="6"/>
      <c r="D16" s="193">
        <f>TRUNC((SQRT(8*(F16/5)+1)-1)/2)</f>
        <v>0</v>
      </c>
      <c r="E16" s="6" t="s">
        <v>823</v>
      </c>
      <c r="F16" s="11"/>
      <c r="G16" s="6" t="s">
        <v>824</v>
      </c>
      <c r="H16" s="238"/>
      <c r="I16" s="238"/>
      <c r="J16" s="238"/>
      <c r="K16" s="238"/>
      <c r="L16" s="238"/>
      <c r="M16" s="97"/>
      <c r="N16" s="200"/>
      <c r="O16" s="183" t="s">
        <v>825</v>
      </c>
      <c r="P16" s="6"/>
      <c r="Q16" s="193">
        <f>TRUNC((SQRT(8*(S16/5)+1)-1)/2)</f>
        <v>0</v>
      </c>
      <c r="R16" s="6" t="s">
        <v>823</v>
      </c>
      <c r="S16" s="11"/>
      <c r="T16" s="6" t="s">
        <v>824</v>
      </c>
      <c r="U16" s="238"/>
      <c r="V16" s="238"/>
      <c r="W16" s="238"/>
      <c r="X16" s="238"/>
      <c r="Y16" s="238"/>
      <c r="Z16" s="97"/>
    </row>
    <row r="17" spans="1:26" ht="12.75" customHeight="1">
      <c r="A17" s="200"/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97"/>
      <c r="N17" s="200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97"/>
    </row>
    <row r="18" spans="1:26" ht="12.75" customHeight="1">
      <c r="A18" s="200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97"/>
      <c r="N18" s="200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97"/>
    </row>
    <row r="19" spans="1:26" ht="12.75" customHeight="1">
      <c r="A19" s="200"/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97"/>
      <c r="N19" s="200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97"/>
    </row>
    <row r="20" spans="1:26" ht="12.75" customHeight="1">
      <c r="A20" s="200"/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97"/>
      <c r="N20" s="200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97"/>
    </row>
    <row r="21" spans="1:26" ht="13.5" thickBot="1">
      <c r="A21" s="201"/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100"/>
      <c r="N21" s="201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100"/>
    </row>
    <row r="22" spans="1:26" s="194" customFormat="1" ht="17.25">
      <c r="A22" s="202"/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203"/>
      <c r="N22" s="202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203"/>
    </row>
    <row r="23" spans="1:26" ht="17.25">
      <c r="A23" s="197"/>
      <c r="B23" s="141" t="s">
        <v>826</v>
      </c>
      <c r="C23" s="144"/>
      <c r="D23" s="195"/>
      <c r="E23" s="198"/>
      <c r="F23" s="195"/>
      <c r="G23" s="198"/>
      <c r="H23" s="196" t="s">
        <v>827</v>
      </c>
      <c r="I23" s="196"/>
      <c r="J23" s="195">
        <f>Sta-Load+D25</f>
        <v>3</v>
      </c>
      <c r="K23" s="198" t="s">
        <v>828</v>
      </c>
      <c r="L23" s="195">
        <f>Sheet1!$L$20-F23</f>
        <v>2</v>
      </c>
      <c r="M23" s="199"/>
      <c r="N23" s="197"/>
      <c r="O23" s="141" t="s">
        <v>826</v>
      </c>
      <c r="P23" s="144"/>
      <c r="Q23" s="195"/>
      <c r="R23" s="198"/>
      <c r="S23" s="195"/>
      <c r="T23" s="198"/>
      <c r="U23" s="196" t="s">
        <v>827</v>
      </c>
      <c r="V23" s="196"/>
      <c r="W23" s="195">
        <f>Sta-Load+Q25</f>
        <v>3</v>
      </c>
      <c r="X23" s="198" t="s">
        <v>828</v>
      </c>
      <c r="Y23" s="195">
        <f>Sheet1!$L$20-S23</f>
        <v>2</v>
      </c>
      <c r="Z23" s="199"/>
    </row>
    <row r="24" spans="1:26" ht="16.5">
      <c r="A24" s="200"/>
      <c r="B24" s="183" t="s">
        <v>819</v>
      </c>
      <c r="C24" s="183"/>
      <c r="D24" s="136"/>
      <c r="E24" s="183"/>
      <c r="F24" s="183" t="s">
        <v>820</v>
      </c>
      <c r="G24" s="183"/>
      <c r="H24" s="136"/>
      <c r="I24" s="183"/>
      <c r="J24" s="183" t="s">
        <v>821</v>
      </c>
      <c r="K24" s="183"/>
      <c r="L24" s="136"/>
      <c r="M24" s="97"/>
      <c r="N24" s="200"/>
      <c r="O24" s="183" t="s">
        <v>819</v>
      </c>
      <c r="P24" s="183"/>
      <c r="Q24" s="136"/>
      <c r="R24" s="183"/>
      <c r="S24" s="183" t="s">
        <v>820</v>
      </c>
      <c r="T24" s="183"/>
      <c r="U24" s="136"/>
      <c r="V24" s="183"/>
      <c r="W24" s="183" t="s">
        <v>821</v>
      </c>
      <c r="X24" s="183"/>
      <c r="Y24" s="136"/>
      <c r="Z24" s="97"/>
    </row>
    <row r="25" spans="1:26" ht="17.25">
      <c r="A25" s="200"/>
      <c r="B25" s="183" t="s">
        <v>825</v>
      </c>
      <c r="C25" s="6"/>
      <c r="D25" s="193">
        <f>TRUNC((SQRT(8*(F25/5)+1)-1)/2)</f>
        <v>0</v>
      </c>
      <c r="E25" s="6" t="s">
        <v>823</v>
      </c>
      <c r="F25" s="11"/>
      <c r="G25" s="6" t="s">
        <v>824</v>
      </c>
      <c r="H25" s="238"/>
      <c r="I25" s="238"/>
      <c r="J25" s="238"/>
      <c r="K25" s="238"/>
      <c r="L25" s="238"/>
      <c r="M25" s="97"/>
      <c r="N25" s="200"/>
      <c r="O25" s="183" t="s">
        <v>825</v>
      </c>
      <c r="P25" s="6"/>
      <c r="Q25" s="193">
        <f>TRUNC((SQRT(8*(S25/5)+1)-1)/2)</f>
        <v>0</v>
      </c>
      <c r="R25" s="6" t="s">
        <v>823</v>
      </c>
      <c r="S25" s="11"/>
      <c r="T25" s="6" t="s">
        <v>824</v>
      </c>
      <c r="U25" s="238"/>
      <c r="V25" s="238"/>
      <c r="W25" s="238"/>
      <c r="X25" s="238"/>
      <c r="Y25" s="238"/>
      <c r="Z25" s="97"/>
    </row>
    <row r="26" spans="1:26" ht="12.75" customHeight="1">
      <c r="A26" s="200"/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97"/>
      <c r="N26" s="200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97"/>
    </row>
    <row r="27" spans="1:26" ht="12.75" customHeight="1">
      <c r="A27" s="200"/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97"/>
      <c r="N27" s="200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97"/>
    </row>
    <row r="28" spans="1:26" ht="12.75" customHeight="1">
      <c r="A28" s="200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97"/>
      <c r="N28" s="200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97"/>
    </row>
    <row r="29" spans="1:26" ht="12.75" customHeight="1">
      <c r="A29" s="200"/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97"/>
      <c r="N29" s="200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97"/>
    </row>
    <row r="30" spans="1:26" ht="13.5" thickBot="1">
      <c r="A30" s="201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100"/>
      <c r="N30" s="201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100"/>
    </row>
    <row r="31" spans="1:26" s="194" customFormat="1" ht="17.25">
      <c r="A31" s="202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203"/>
      <c r="N31" s="202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203"/>
    </row>
    <row r="32" spans="1:26" ht="17.25">
      <c r="A32" s="197"/>
      <c r="B32" s="141" t="s">
        <v>826</v>
      </c>
      <c r="C32" s="144"/>
      <c r="D32" s="195"/>
      <c r="E32" s="198"/>
      <c r="F32" s="195"/>
      <c r="G32" s="198"/>
      <c r="H32" s="196" t="s">
        <v>827</v>
      </c>
      <c r="I32" s="196"/>
      <c r="J32" s="195">
        <f>Sta-Load+D34</f>
        <v>3</v>
      </c>
      <c r="K32" s="198" t="s">
        <v>828</v>
      </c>
      <c r="L32" s="195">
        <f>Sheet1!$L$20-F32</f>
        <v>2</v>
      </c>
      <c r="M32" s="199"/>
      <c r="N32" s="197"/>
      <c r="O32" s="141" t="s">
        <v>826</v>
      </c>
      <c r="P32" s="144"/>
      <c r="Q32" s="195"/>
      <c r="R32" s="198"/>
      <c r="S32" s="195"/>
      <c r="T32" s="198"/>
      <c r="U32" s="196" t="s">
        <v>827</v>
      </c>
      <c r="V32" s="196"/>
      <c r="W32" s="195">
        <f>Sta-Load+Q34</f>
        <v>3</v>
      </c>
      <c r="X32" s="198" t="s">
        <v>828</v>
      </c>
      <c r="Y32" s="195">
        <f>Sheet1!$L$20-S32</f>
        <v>2</v>
      </c>
      <c r="Z32" s="199"/>
    </row>
    <row r="33" spans="1:26" ht="16.5">
      <c r="A33" s="200"/>
      <c r="B33" s="183" t="s">
        <v>819</v>
      </c>
      <c r="C33" s="183"/>
      <c r="D33" s="136"/>
      <c r="E33" s="183"/>
      <c r="F33" s="183" t="s">
        <v>820</v>
      </c>
      <c r="G33" s="183"/>
      <c r="H33" s="136"/>
      <c r="I33" s="183"/>
      <c r="J33" s="183" t="s">
        <v>821</v>
      </c>
      <c r="K33" s="183"/>
      <c r="L33" s="136"/>
      <c r="M33" s="97"/>
      <c r="N33" s="200"/>
      <c r="O33" s="183" t="s">
        <v>819</v>
      </c>
      <c r="P33" s="183"/>
      <c r="Q33" s="136"/>
      <c r="R33" s="183"/>
      <c r="S33" s="183" t="s">
        <v>820</v>
      </c>
      <c r="T33" s="183"/>
      <c r="U33" s="136"/>
      <c r="V33" s="183"/>
      <c r="W33" s="183" t="s">
        <v>821</v>
      </c>
      <c r="X33" s="183"/>
      <c r="Y33" s="136"/>
      <c r="Z33" s="97"/>
    </row>
    <row r="34" spans="1:26" ht="17.25">
      <c r="A34" s="200"/>
      <c r="B34" s="183" t="s">
        <v>825</v>
      </c>
      <c r="C34" s="6"/>
      <c r="D34" s="193">
        <f>TRUNC((SQRT(8*(F34/5)+1)-1)/2)</f>
        <v>0</v>
      </c>
      <c r="E34" s="6" t="s">
        <v>823</v>
      </c>
      <c r="F34" s="11"/>
      <c r="G34" s="6" t="s">
        <v>824</v>
      </c>
      <c r="H34" s="238"/>
      <c r="I34" s="238"/>
      <c r="J34" s="238"/>
      <c r="K34" s="238"/>
      <c r="L34" s="238"/>
      <c r="M34" s="97"/>
      <c r="N34" s="200"/>
      <c r="O34" s="183" t="s">
        <v>825</v>
      </c>
      <c r="P34" s="6"/>
      <c r="Q34" s="193">
        <f>TRUNC((SQRT(8*(S34/5)+1)-1)/2)</f>
        <v>0</v>
      </c>
      <c r="R34" s="6" t="s">
        <v>823</v>
      </c>
      <c r="S34" s="11"/>
      <c r="T34" s="6" t="s">
        <v>824</v>
      </c>
      <c r="U34" s="238"/>
      <c r="V34" s="238"/>
      <c r="W34" s="238"/>
      <c r="X34" s="238"/>
      <c r="Y34" s="238"/>
      <c r="Z34" s="97"/>
    </row>
    <row r="35" spans="1:26" ht="12.75" customHeight="1">
      <c r="A35" s="200"/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97"/>
      <c r="N35" s="200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97"/>
    </row>
    <row r="36" spans="1:26" ht="12.75" customHeight="1">
      <c r="A36" s="200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97"/>
      <c r="N36" s="200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97"/>
    </row>
    <row r="37" spans="1:26" ht="12.75" customHeight="1">
      <c r="A37" s="200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97"/>
      <c r="N37" s="200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97"/>
    </row>
    <row r="38" spans="1:26" ht="12.75" customHeight="1">
      <c r="A38" s="200"/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97"/>
      <c r="N38" s="200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97"/>
    </row>
    <row r="39" spans="1:26" ht="13.5" thickBot="1">
      <c r="A39" s="201"/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100"/>
      <c r="N39" s="201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100"/>
    </row>
    <row r="40" spans="1:26" s="194" customFormat="1" ht="17.25">
      <c r="A40" s="202"/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203"/>
      <c r="N40" s="202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203"/>
    </row>
    <row r="41" spans="1:26" ht="17.25">
      <c r="A41" s="197"/>
      <c r="B41" s="141" t="s">
        <v>826</v>
      </c>
      <c r="C41" s="144"/>
      <c r="D41" s="195"/>
      <c r="E41" s="198"/>
      <c r="F41" s="195"/>
      <c r="G41" s="198"/>
      <c r="H41" s="196" t="s">
        <v>827</v>
      </c>
      <c r="I41" s="196"/>
      <c r="J41" s="195">
        <f>Sta-Load+D43</f>
        <v>3</v>
      </c>
      <c r="K41" s="198" t="s">
        <v>828</v>
      </c>
      <c r="L41" s="195">
        <f>Sheet1!$L$20-F41</f>
        <v>2</v>
      </c>
      <c r="M41" s="199"/>
      <c r="N41" s="197"/>
      <c r="O41" s="141" t="s">
        <v>826</v>
      </c>
      <c r="P41" s="144"/>
      <c r="Q41" s="195"/>
      <c r="R41" s="198"/>
      <c r="S41" s="195"/>
      <c r="T41" s="198"/>
      <c r="U41" s="196" t="s">
        <v>827</v>
      </c>
      <c r="V41" s="196"/>
      <c r="W41" s="195">
        <f>Sta-Load+Q43</f>
        <v>3</v>
      </c>
      <c r="X41" s="198" t="s">
        <v>828</v>
      </c>
      <c r="Y41" s="195">
        <f>Sheet1!$L$20-S41</f>
        <v>2</v>
      </c>
      <c r="Z41" s="199"/>
    </row>
    <row r="42" spans="1:26" ht="16.5">
      <c r="A42" s="200"/>
      <c r="B42" s="183" t="s">
        <v>819</v>
      </c>
      <c r="C42" s="183"/>
      <c r="D42" s="136"/>
      <c r="E42" s="183"/>
      <c r="F42" s="183" t="s">
        <v>820</v>
      </c>
      <c r="G42" s="183"/>
      <c r="H42" s="136"/>
      <c r="I42" s="183"/>
      <c r="J42" s="183" t="s">
        <v>821</v>
      </c>
      <c r="K42" s="183"/>
      <c r="L42" s="136"/>
      <c r="M42" s="97"/>
      <c r="N42" s="200"/>
      <c r="O42" s="183" t="s">
        <v>819</v>
      </c>
      <c r="P42" s="183"/>
      <c r="Q42" s="136"/>
      <c r="R42" s="183"/>
      <c r="S42" s="183" t="s">
        <v>820</v>
      </c>
      <c r="T42" s="183"/>
      <c r="U42" s="136"/>
      <c r="V42" s="183"/>
      <c r="W42" s="183" t="s">
        <v>821</v>
      </c>
      <c r="X42" s="183"/>
      <c r="Y42" s="136"/>
      <c r="Z42" s="97"/>
    </row>
    <row r="43" spans="1:26" ht="17.25">
      <c r="A43" s="200"/>
      <c r="B43" s="183" t="s">
        <v>825</v>
      </c>
      <c r="C43" s="6"/>
      <c r="D43" s="193">
        <f>TRUNC((SQRT(8*(F43/5)+1)-1)/2)</f>
        <v>0</v>
      </c>
      <c r="E43" s="6" t="s">
        <v>823</v>
      </c>
      <c r="F43" s="11"/>
      <c r="G43" s="6" t="s">
        <v>824</v>
      </c>
      <c r="H43" s="238"/>
      <c r="I43" s="238"/>
      <c r="J43" s="238"/>
      <c r="K43" s="238"/>
      <c r="L43" s="238"/>
      <c r="M43" s="97"/>
      <c r="N43" s="200"/>
      <c r="O43" s="183" t="s">
        <v>825</v>
      </c>
      <c r="P43" s="6"/>
      <c r="Q43" s="193">
        <f>TRUNC((SQRT(8*(S43/5)+1)-1)/2)</f>
        <v>0</v>
      </c>
      <c r="R43" s="6" t="s">
        <v>823</v>
      </c>
      <c r="S43" s="11"/>
      <c r="T43" s="6" t="s">
        <v>824</v>
      </c>
      <c r="U43" s="238"/>
      <c r="V43" s="238"/>
      <c r="W43" s="238"/>
      <c r="X43" s="238"/>
      <c r="Y43" s="238"/>
      <c r="Z43" s="97"/>
    </row>
    <row r="44" spans="1:26" s="192" customFormat="1" ht="12.75" customHeight="1">
      <c r="A44" s="204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205"/>
      <c r="N44" s="2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205"/>
    </row>
    <row r="45" spans="1:26" ht="12.75" customHeight="1">
      <c r="A45" s="200"/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97"/>
      <c r="N45" s="200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97"/>
    </row>
    <row r="46" spans="1:28" ht="12.75" customHeight="1">
      <c r="A46" s="200"/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97"/>
      <c r="N46" s="200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97"/>
      <c r="AA46" s="132" t="s">
        <v>830</v>
      </c>
      <c r="AB46">
        <f>F5+F14+F23+F32+F41+S5+S14+S23+S32+S41</f>
        <v>0</v>
      </c>
    </row>
    <row r="47" spans="1:30" ht="12.75" customHeight="1">
      <c r="A47" s="200"/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97"/>
      <c r="N47" s="200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97"/>
      <c r="AA47" s="132" t="s">
        <v>822</v>
      </c>
      <c r="AB47">
        <f>F7+F16+F25+F34+F43+S7+S16+S25+S34+S43</f>
        <v>0</v>
      </c>
      <c r="AC47" s="132" t="s">
        <v>805</v>
      </c>
      <c r="AD47">
        <f>AB46+AB47</f>
        <v>0</v>
      </c>
    </row>
    <row r="48" spans="1:26" s="182" customFormat="1" ht="9" thickBot="1">
      <c r="A48" s="206"/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207"/>
      <c r="N48" s="206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207"/>
    </row>
  </sheetData>
  <mergeCells count="31">
    <mergeCell ref="B4:L4"/>
    <mergeCell ref="O4:Y4"/>
    <mergeCell ref="H7:L7"/>
    <mergeCell ref="B40:L40"/>
    <mergeCell ref="H43:L43"/>
    <mergeCell ref="H34:L34"/>
    <mergeCell ref="U7:Y7"/>
    <mergeCell ref="H25:L25"/>
    <mergeCell ref="B26:L30"/>
    <mergeCell ref="B31:L31"/>
    <mergeCell ref="B35:L39"/>
    <mergeCell ref="O44:Y48"/>
    <mergeCell ref="B44:L48"/>
    <mergeCell ref="O8:Y12"/>
    <mergeCell ref="O13:Y13"/>
    <mergeCell ref="U16:Y16"/>
    <mergeCell ref="O17:Y21"/>
    <mergeCell ref="O22:Y22"/>
    <mergeCell ref="U25:Y25"/>
    <mergeCell ref="O26:Y30"/>
    <mergeCell ref="O31:Y31"/>
    <mergeCell ref="D1:X2"/>
    <mergeCell ref="O35:Y39"/>
    <mergeCell ref="O40:Y40"/>
    <mergeCell ref="U43:Y43"/>
    <mergeCell ref="U34:Y34"/>
    <mergeCell ref="B8:L12"/>
    <mergeCell ref="B13:L13"/>
    <mergeCell ref="H16:L16"/>
    <mergeCell ref="B17:L21"/>
    <mergeCell ref="B22:L2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0"/>
  <sheetViews>
    <sheetView workbookViewId="0" topLeftCell="A1">
      <selection activeCell="G9" sqref="G9"/>
    </sheetView>
  </sheetViews>
  <sheetFormatPr defaultColWidth="9.33203125" defaultRowHeight="12.75"/>
  <cols>
    <col min="1" max="1" width="3.66015625" style="32" customWidth="1"/>
    <col min="2" max="2" width="3.33203125" style="32" customWidth="1"/>
    <col min="3" max="5" width="5.66015625" style="32" customWidth="1"/>
    <col min="6" max="6" width="48.16015625" style="32" customWidth="1"/>
    <col min="7" max="7" width="4.16015625" style="32" customWidth="1"/>
    <col min="8" max="8" width="4" style="32" customWidth="1"/>
    <col min="9" max="9" width="4.16015625" style="14" customWidth="1"/>
    <col min="10" max="10" width="6.16015625" style="14" customWidth="1"/>
    <col min="11" max="11" width="3.83203125" style="30" customWidth="1"/>
    <col min="12" max="13" width="4.66015625" style="32" customWidth="1"/>
    <col min="14" max="14" width="11.66015625" style="30" customWidth="1"/>
    <col min="15" max="15" width="10.83203125" style="30" customWidth="1"/>
    <col min="16" max="16" width="10.5" style="30" customWidth="1"/>
    <col min="17" max="17" width="3.33203125" style="33" customWidth="1"/>
    <col min="18" max="21" width="9.66015625" style="32" customWidth="1"/>
    <col min="22" max="22" width="57" style="32" customWidth="1"/>
    <col min="23" max="16384" width="9.33203125" style="32" customWidth="1"/>
  </cols>
  <sheetData>
    <row r="1" spans="8:17" s="30" customFormat="1" ht="12.75">
      <c r="H1" s="14" t="s">
        <v>18</v>
      </c>
      <c r="I1" s="14" t="s">
        <v>19</v>
      </c>
      <c r="J1" s="14" t="s">
        <v>20</v>
      </c>
      <c r="K1" s="14" t="s">
        <v>21</v>
      </c>
      <c r="L1" s="14" t="s">
        <v>22</v>
      </c>
      <c r="M1" s="14" t="s">
        <v>23</v>
      </c>
      <c r="N1" s="14" t="s">
        <v>24</v>
      </c>
      <c r="O1" s="14" t="s">
        <v>25</v>
      </c>
      <c r="P1" s="14" t="s">
        <v>26</v>
      </c>
      <c r="Q1" s="14" t="s">
        <v>27</v>
      </c>
    </row>
    <row r="2" spans="6:17" s="30" customFormat="1" ht="12.75">
      <c r="F2" s="83" t="s">
        <v>28</v>
      </c>
      <c r="G2" s="84"/>
      <c r="H2" s="14">
        <f>Animal</f>
        <v>0</v>
      </c>
      <c r="I2" s="14">
        <f>Aquam</f>
        <v>0</v>
      </c>
      <c r="J2" s="14">
        <f>Auram</f>
        <v>0</v>
      </c>
      <c r="K2" s="14">
        <f>Corpus</f>
        <v>0</v>
      </c>
      <c r="L2" s="14">
        <f>Herbam</f>
        <v>0</v>
      </c>
      <c r="M2" s="14">
        <f>Ignem</f>
        <v>0</v>
      </c>
      <c r="N2" s="14">
        <f>Imaginem</f>
        <v>0</v>
      </c>
      <c r="O2" s="14">
        <f>Mentem</f>
        <v>0</v>
      </c>
      <c r="P2" s="14">
        <f>Terram</f>
        <v>0</v>
      </c>
      <c r="Q2" s="14">
        <f>Vim</f>
        <v>0</v>
      </c>
    </row>
    <row r="3" spans="6:17" s="30" customFormat="1" ht="12.75">
      <c r="F3" s="2" t="s">
        <v>29</v>
      </c>
      <c r="G3" s="3">
        <f>Creo</f>
        <v>0</v>
      </c>
      <c r="H3" s="15">
        <f>(An)+(Cr)</f>
        <v>0</v>
      </c>
      <c r="I3" s="16">
        <f>(Aq)+(Cr)</f>
        <v>0</v>
      </c>
      <c r="J3" s="16">
        <f>(Au)+(Cr)</f>
        <v>0</v>
      </c>
      <c r="K3" s="16">
        <f>(Co)+(Cr)</f>
        <v>0</v>
      </c>
      <c r="L3" s="16">
        <f>(He)+(Cr)</f>
        <v>0</v>
      </c>
      <c r="M3" s="16">
        <f>(Ig)+(Cr)</f>
        <v>0</v>
      </c>
      <c r="N3" s="16">
        <f>(Im)+(Cr)</f>
        <v>0</v>
      </c>
      <c r="O3" s="16">
        <f>(Me)+(Cr)</f>
        <v>0</v>
      </c>
      <c r="P3" s="16">
        <f>(Te)+(Cr)</f>
        <v>0</v>
      </c>
      <c r="Q3" s="17">
        <f>(Vi)+(Cr)</f>
        <v>0</v>
      </c>
    </row>
    <row r="4" spans="6:17" s="30" customFormat="1" ht="12.75">
      <c r="F4" s="2" t="s">
        <v>30</v>
      </c>
      <c r="G4" s="3">
        <f>Intellego</f>
        <v>0</v>
      </c>
      <c r="H4" s="18">
        <f>(An)+(In)</f>
        <v>0</v>
      </c>
      <c r="I4" s="13">
        <f>(Aq)+(In)</f>
        <v>0</v>
      </c>
      <c r="J4" s="13">
        <f>(Au)+(In)</f>
        <v>0</v>
      </c>
      <c r="K4" s="13">
        <f>(Co)+(In)</f>
        <v>0</v>
      </c>
      <c r="L4" s="13">
        <f>(He)+(In)</f>
        <v>0</v>
      </c>
      <c r="M4" s="13">
        <f>(Ig)+(In)</f>
        <v>0</v>
      </c>
      <c r="N4" s="13">
        <f>(Im)+(In)</f>
        <v>0</v>
      </c>
      <c r="O4" s="13">
        <f>(Me)+(In)</f>
        <v>0</v>
      </c>
      <c r="P4" s="13">
        <f>(Te)+(In)</f>
        <v>0</v>
      </c>
      <c r="Q4" s="19">
        <f>(Vi)+(In)</f>
        <v>0</v>
      </c>
    </row>
    <row r="5" spans="3:17" s="30" customFormat="1" ht="12.75">
      <c r="C5" s="93" t="e">
        <f>150+#REF!*3</f>
        <v>#REF!</v>
      </c>
      <c r="D5" s="23" t="s">
        <v>31</v>
      </c>
      <c r="F5" s="2" t="s">
        <v>32</v>
      </c>
      <c r="G5" s="3">
        <f>Muto</f>
        <v>0</v>
      </c>
      <c r="H5" s="18">
        <f>(An)+(Mu)</f>
        <v>0</v>
      </c>
      <c r="I5" s="13">
        <f>(Aq)+(Mu)</f>
        <v>0</v>
      </c>
      <c r="J5" s="13">
        <f>(Au)+(Mu)</f>
        <v>0</v>
      </c>
      <c r="K5" s="13">
        <f>(Co)+(Mu)</f>
        <v>0</v>
      </c>
      <c r="L5" s="13">
        <f>(He)+(Mu)</f>
        <v>0</v>
      </c>
      <c r="M5" s="13">
        <f>(Ig)+(Mu)</f>
        <v>0</v>
      </c>
      <c r="N5" s="13">
        <f>(Im)+(Mu)</f>
        <v>0</v>
      </c>
      <c r="O5" s="13">
        <f>(Me)+(Mu)</f>
        <v>0</v>
      </c>
      <c r="P5" s="13">
        <f>(Te)+(Mu)</f>
        <v>0</v>
      </c>
      <c r="Q5" s="19">
        <f>(Vi)+(Mu)</f>
        <v>0</v>
      </c>
    </row>
    <row r="6" spans="3:17" s="30" customFormat="1" ht="12.75">
      <c r="C6" s="93" t="e">
        <f>C5-C7</f>
        <v>#REF!</v>
      </c>
      <c r="D6" s="23" t="s">
        <v>17</v>
      </c>
      <c r="F6" s="2" t="s">
        <v>33</v>
      </c>
      <c r="G6" s="3">
        <f>Perdo</f>
        <v>0</v>
      </c>
      <c r="H6" s="18">
        <f>(An)+(Pe)</f>
        <v>0</v>
      </c>
      <c r="I6" s="13">
        <f>(Aq)+(Pe)</f>
        <v>0</v>
      </c>
      <c r="J6" s="13">
        <f>(Au)+(Pe)</f>
        <v>0</v>
      </c>
      <c r="K6" s="13">
        <f>(Co)+(Pe)</f>
        <v>0</v>
      </c>
      <c r="L6" s="13">
        <f>(He)+(Pe)</f>
        <v>0</v>
      </c>
      <c r="M6" s="13">
        <f>(Ig)+(Pe)</f>
        <v>0</v>
      </c>
      <c r="N6" s="13">
        <f>(Im)+(Pe)</f>
        <v>0</v>
      </c>
      <c r="O6" s="13">
        <f>(Me)+(Pe)</f>
        <v>0</v>
      </c>
      <c r="P6" s="13">
        <f>(Te)+(Pe)</f>
        <v>0</v>
      </c>
      <c r="Q6" s="19">
        <f>(Vi)+(Pe)</f>
        <v>0</v>
      </c>
    </row>
    <row r="7" spans="2:17" s="30" customFormat="1" ht="12.75">
      <c r="B7" s="85"/>
      <c r="C7" s="32">
        <f>SUM(A10:A35)</f>
        <v>0</v>
      </c>
      <c r="D7" s="30" t="s">
        <v>34</v>
      </c>
      <c r="F7" s="2" t="s">
        <v>35</v>
      </c>
      <c r="G7" s="3">
        <f>Rego</f>
        <v>0</v>
      </c>
      <c r="H7" s="20">
        <f>(An)+(Re)</f>
        <v>0</v>
      </c>
      <c r="I7" s="21">
        <f>(Aq)+(Re)</f>
        <v>0</v>
      </c>
      <c r="J7" s="21">
        <f>(Au)+(Re)</f>
        <v>0</v>
      </c>
      <c r="K7" s="21">
        <f>(Co)+(Re)</f>
        <v>0</v>
      </c>
      <c r="L7" s="21">
        <f>(He)+(Re)</f>
        <v>0</v>
      </c>
      <c r="M7" s="21">
        <f>(Ig)+(Re)</f>
        <v>0</v>
      </c>
      <c r="N7" s="21">
        <f>(Im)+(Re)</f>
        <v>0</v>
      </c>
      <c r="O7" s="21">
        <f>(Me)+(Re)</f>
        <v>0</v>
      </c>
      <c r="P7" s="21">
        <f>(Te)+(Re)</f>
        <v>0</v>
      </c>
      <c r="Q7" s="22">
        <f>(Vi)+(Re)</f>
        <v>0</v>
      </c>
    </row>
    <row r="8" spans="2:17" s="30" customFormat="1" ht="12.75">
      <c r="B8" s="92" t="s">
        <v>36</v>
      </c>
      <c r="C8" s="82"/>
      <c r="F8" s="2"/>
      <c r="G8" s="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s="30" customFormat="1" ht="12.75">
      <c r="B9" s="25" t="s">
        <v>37</v>
      </c>
      <c r="C9" s="82"/>
      <c r="F9" s="2" t="s">
        <v>813</v>
      </c>
      <c r="G9" s="3">
        <f>Sta-Load</f>
        <v>3</v>
      </c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 s="30" customFormat="1" ht="12.75">
      <c r="B10" s="25" t="s">
        <v>38</v>
      </c>
      <c r="C10" s="82"/>
      <c r="F10" s="2" t="s">
        <v>814</v>
      </c>
      <c r="G10" s="3">
        <f>Sheet1!$L$16+Int</f>
        <v>7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3:21" s="30" customFormat="1" ht="12.75">
      <c r="C11" s="25"/>
      <c r="D11" s="25"/>
      <c r="E11" s="24"/>
      <c r="F11" s="28"/>
      <c r="G11" s="26"/>
      <c r="H11" s="26"/>
      <c r="I11" s="50"/>
      <c r="J11" s="50"/>
      <c r="K11" s="27"/>
      <c r="L11" s="28"/>
      <c r="M11" s="28"/>
      <c r="N11" s="28"/>
      <c r="O11" s="28"/>
      <c r="P11" s="28"/>
      <c r="Q11" s="34"/>
      <c r="R11" s="28"/>
      <c r="S11" s="28"/>
      <c r="T11" s="28"/>
      <c r="U11" s="28"/>
    </row>
    <row r="12" spans="2:22" s="48" customFormat="1" ht="24">
      <c r="B12" s="92" t="s">
        <v>36</v>
      </c>
      <c r="C12" s="86" t="s">
        <v>39</v>
      </c>
      <c r="D12" s="87" t="s">
        <v>40</v>
      </c>
      <c r="E12" s="87" t="s">
        <v>41</v>
      </c>
      <c r="F12" s="88" t="s">
        <v>42</v>
      </c>
      <c r="G12" s="89" t="s">
        <v>26</v>
      </c>
      <c r="H12" s="89" t="s">
        <v>43</v>
      </c>
      <c r="I12" s="90" t="s">
        <v>44</v>
      </c>
      <c r="J12" s="90" t="s">
        <v>45</v>
      </c>
      <c r="K12" s="51" t="s">
        <v>46</v>
      </c>
      <c r="L12" s="86" t="s">
        <v>47</v>
      </c>
      <c r="M12" s="86" t="s">
        <v>48</v>
      </c>
      <c r="N12" s="88" t="s">
        <v>49</v>
      </c>
      <c r="O12" s="88" t="s">
        <v>423</v>
      </c>
      <c r="P12" s="88" t="s">
        <v>15</v>
      </c>
      <c r="Q12" s="91" t="s">
        <v>50</v>
      </c>
      <c r="R12" s="88" t="s">
        <v>417</v>
      </c>
      <c r="S12" s="88" t="s">
        <v>418</v>
      </c>
      <c r="T12" s="88" t="s">
        <v>428</v>
      </c>
      <c r="U12" s="88" t="s">
        <v>424</v>
      </c>
      <c r="V12" s="88" t="s">
        <v>51</v>
      </c>
    </row>
    <row r="13" spans="1:22" s="30" customFormat="1" ht="12.75">
      <c r="A13" s="24">
        <f aca="true" t="shared" si="0" ref="A13:A76">IF(OR(B13="Y",B13="M"),K13,"")</f>
      </c>
      <c r="B13" s="24" t="s">
        <v>52</v>
      </c>
      <c r="C13" s="29">
        <f>IF(G13="","--",(L13-Sta+Int)/2)</f>
        <v>1.5</v>
      </c>
      <c r="D13" s="29">
        <f aca="true" t="shared" si="1" ref="D13:D76">IF(AND(K13&lt;&gt;"",K13&lt;&gt;"G"),K13-C13,"--")</f>
        <v>18.5</v>
      </c>
      <c r="E13" s="29">
        <f>IF(AND(K13&lt;&gt;"",K13&lt;&gt;"G"),K13-L13,"--")</f>
        <v>19</v>
      </c>
      <c r="F13" s="49" t="s">
        <v>53</v>
      </c>
      <c r="G13" s="31" t="s">
        <v>29</v>
      </c>
      <c r="H13" s="31" t="s">
        <v>18</v>
      </c>
      <c r="I13" s="35" t="s">
        <v>54</v>
      </c>
      <c r="J13" s="35" t="s">
        <v>54</v>
      </c>
      <c r="K13" s="27">
        <f aca="true" t="shared" si="2" ref="K13:K33">IF(R13="G","G",IF(R13&gt;=5,R13+U13*5,IF((R13+U13)&lt;=5,(R13+U13),(5+5*(R13+U13-5)))))</f>
        <v>20</v>
      </c>
      <c r="L13" s="29">
        <f aca="true" ca="1" t="shared" si="3" ref="L13:L76">IF(G13="","--",IF(I13="",INDIRECT(G13),MIN(INDIRECT(G13),INDIRECT(LEFT(I13,2)),INDIRECT(RIGHT(I13,2))))+IF(J13="",INDIRECT(H13),MIN(INDIRECT(H13),INDIRECT(LEFT(J13,2)),INDIRECT(RIGHT(J13,2))))+Sta+IF(M13="",0,$G$2))</f>
        <v>1</v>
      </c>
      <c r="M13" s="29"/>
      <c r="N13" s="28" t="s">
        <v>818</v>
      </c>
      <c r="O13" s="28" t="s">
        <v>76</v>
      </c>
      <c r="P13" s="28" t="s">
        <v>55</v>
      </c>
      <c r="Q13" s="34" t="s">
        <v>62</v>
      </c>
      <c r="R13" s="28">
        <v>15</v>
      </c>
      <c r="S13" s="29">
        <v>0</v>
      </c>
      <c r="T13" s="29">
        <v>0</v>
      </c>
      <c r="U13" s="29">
        <f>S13+T13+VLOOKUP(N13,Ranges,2,FALSE)+VLOOKUP(O13,Durations,2,FALSE)+VLOOKUP(P13,Targets,2,FALSE)</f>
        <v>1</v>
      </c>
      <c r="V13" s="31"/>
    </row>
    <row r="14" spans="1:22" s="30" customFormat="1" ht="12.75">
      <c r="A14" s="24">
        <f>IF(OR(B14="Y",B14="M"),K14,"")</f>
      </c>
      <c r="B14" s="24" t="s">
        <v>52</v>
      </c>
      <c r="C14" s="29">
        <f>IF(G14="","--",(L14-Sta+Int)/2)</f>
        <v>1.5</v>
      </c>
      <c r="D14" s="29">
        <f>IF(AND(K14&lt;&gt;"",K14&lt;&gt;"G"),K14-C14,"--")</f>
        <v>18.5</v>
      </c>
      <c r="E14" s="29">
        <f>IF(AND(K14&lt;&gt;"",K14&lt;&gt;"G"),K14-L14,"--")</f>
        <v>19</v>
      </c>
      <c r="F14" s="49" t="s">
        <v>425</v>
      </c>
      <c r="G14" s="31" t="s">
        <v>29</v>
      </c>
      <c r="H14" s="31" t="s">
        <v>18</v>
      </c>
      <c r="I14" s="35" t="s">
        <v>54</v>
      </c>
      <c r="J14" s="35" t="s">
        <v>54</v>
      </c>
      <c r="K14" s="27">
        <f t="shared" si="2"/>
        <v>20</v>
      </c>
      <c r="L14" s="29">
        <f ca="1">IF(G14="","--",IF(I14="",INDIRECT(G14),MIN(INDIRECT(G14),INDIRECT(LEFT(I14,2)),INDIRECT(RIGHT(I14,2))))+IF(J14="",INDIRECT(H14),MIN(INDIRECT(H14),INDIRECT(LEFT(J14,2)),INDIRECT(RIGHT(J14,2))))+Sta+IF(M14="",0,$G$2))</f>
        <v>1</v>
      </c>
      <c r="M14" s="29"/>
      <c r="N14" s="28" t="s">
        <v>59</v>
      </c>
      <c r="O14" s="28" t="s">
        <v>60</v>
      </c>
      <c r="P14" s="28" t="s">
        <v>55</v>
      </c>
      <c r="Q14" s="34"/>
      <c r="R14" s="28">
        <v>4</v>
      </c>
      <c r="S14" s="29">
        <v>0</v>
      </c>
      <c r="T14" s="29">
        <v>0</v>
      </c>
      <c r="U14" s="29">
        <f aca="true" t="shared" si="4" ref="U14:U76">S14+T14+VLOOKUP(N14,Ranges,2,FALSE)+VLOOKUP(O14,Durations,2,FALSE)+VLOOKUP(P14,Targets,2,FALSE)</f>
        <v>4</v>
      </c>
      <c r="V14" s="94" t="s">
        <v>469</v>
      </c>
    </row>
    <row r="15" spans="1:22" s="30" customFormat="1" ht="12.75">
      <c r="A15" s="24">
        <f t="shared" si="0"/>
      </c>
      <c r="B15" s="24" t="s">
        <v>52</v>
      </c>
      <c r="C15" s="29">
        <f aca="true" t="shared" si="5" ref="C15:C77">IF(G15="","--",(L15-Sta+Int)/2)</f>
        <v>1.5</v>
      </c>
      <c r="D15" s="29">
        <f t="shared" si="1"/>
        <v>33.5</v>
      </c>
      <c r="E15" s="29">
        <f aca="true" t="shared" si="6" ref="E15:E79">IF(AND(K15&lt;&gt;"",K15&lt;&gt;"G"),K15-L15,"--")</f>
        <v>34</v>
      </c>
      <c r="F15" s="49" t="s">
        <v>56</v>
      </c>
      <c r="G15" s="31" t="s">
        <v>29</v>
      </c>
      <c r="H15" s="31" t="s">
        <v>18</v>
      </c>
      <c r="I15" s="35" t="s">
        <v>54</v>
      </c>
      <c r="J15" s="35" t="s">
        <v>54</v>
      </c>
      <c r="K15" s="27">
        <f t="shared" si="2"/>
        <v>35</v>
      </c>
      <c r="L15" s="29">
        <f ca="1" t="shared" si="3"/>
        <v>1</v>
      </c>
      <c r="M15" s="29"/>
      <c r="N15" s="28" t="s">
        <v>426</v>
      </c>
      <c r="O15" s="28" t="s">
        <v>94</v>
      </c>
      <c r="P15" s="28" t="s">
        <v>85</v>
      </c>
      <c r="Q15" s="34"/>
      <c r="R15" s="28">
        <v>5</v>
      </c>
      <c r="S15" s="29">
        <v>0</v>
      </c>
      <c r="T15" s="29">
        <v>0</v>
      </c>
      <c r="U15" s="29">
        <f t="shared" si="4"/>
        <v>6</v>
      </c>
      <c r="V15" s="31" t="s">
        <v>470</v>
      </c>
    </row>
    <row r="16" spans="1:22" s="30" customFormat="1" ht="12.75">
      <c r="A16" s="24">
        <f>IF(OR(B16="Y",B16="M"),K16,"")</f>
      </c>
      <c r="B16" s="24" t="s">
        <v>52</v>
      </c>
      <c r="C16" s="29">
        <f>IF(G16="","--",(L16-Sta+Int)/2)</f>
        <v>1.5</v>
      </c>
      <c r="D16" s="29">
        <f>IF(AND(K16&lt;&gt;"",K16&lt;&gt;"G"),K16-C16,"--")</f>
        <v>33.5</v>
      </c>
      <c r="E16" s="29">
        <f>IF(AND(K16&lt;&gt;"",K16&lt;&gt;"G"),K16-L16,"--")</f>
        <v>34</v>
      </c>
      <c r="F16" s="49" t="s">
        <v>427</v>
      </c>
      <c r="G16" s="31" t="s">
        <v>29</v>
      </c>
      <c r="H16" s="31" t="s">
        <v>18</v>
      </c>
      <c r="I16" s="35" t="s">
        <v>54</v>
      </c>
      <c r="J16" s="35" t="s">
        <v>54</v>
      </c>
      <c r="K16" s="27">
        <f t="shared" si="2"/>
        <v>35</v>
      </c>
      <c r="L16" s="29">
        <f ca="1">IF(G16="","--",IF(I16="",INDIRECT(G16),MIN(INDIRECT(G16),INDIRECT(LEFT(I16,2)),INDIRECT(RIGHT(I16,2))))+IF(J16="",INDIRECT(H16),MIN(INDIRECT(H16),INDIRECT(LEFT(J16,2)),INDIRECT(RIGHT(J16,2))))+Sta+IF(M16="",0,$G$2))</f>
        <v>1</v>
      </c>
      <c r="M16" s="29"/>
      <c r="N16" s="28" t="s">
        <v>59</v>
      </c>
      <c r="O16" s="28" t="s">
        <v>94</v>
      </c>
      <c r="P16" s="28" t="s">
        <v>55</v>
      </c>
      <c r="Q16" s="34"/>
      <c r="R16" s="28">
        <v>15</v>
      </c>
      <c r="S16" s="29">
        <v>1</v>
      </c>
      <c r="T16" s="29">
        <v>0</v>
      </c>
      <c r="U16" s="29">
        <f t="shared" si="4"/>
        <v>4</v>
      </c>
      <c r="V16" s="31"/>
    </row>
    <row r="17" spans="1:22" s="30" customFormat="1" ht="12.75">
      <c r="A17" s="24">
        <f t="shared" si="0"/>
      </c>
      <c r="B17" s="24" t="s">
        <v>52</v>
      </c>
      <c r="C17" s="29">
        <f t="shared" si="5"/>
        <v>1.5</v>
      </c>
      <c r="D17" s="29">
        <f t="shared" si="1"/>
        <v>48.5</v>
      </c>
      <c r="E17" s="29">
        <f t="shared" si="6"/>
        <v>49</v>
      </c>
      <c r="F17" s="49" t="s">
        <v>58</v>
      </c>
      <c r="G17" s="31" t="s">
        <v>29</v>
      </c>
      <c r="H17" s="31" t="s">
        <v>18</v>
      </c>
      <c r="I17" s="35" t="s">
        <v>35</v>
      </c>
      <c r="J17" s="35" t="s">
        <v>54</v>
      </c>
      <c r="K17" s="27">
        <f t="shared" si="2"/>
        <v>50</v>
      </c>
      <c r="L17" s="29">
        <f ca="1" t="shared" si="3"/>
        <v>1</v>
      </c>
      <c r="M17" s="29"/>
      <c r="N17" s="28" t="s">
        <v>59</v>
      </c>
      <c r="O17" s="28" t="s">
        <v>60</v>
      </c>
      <c r="P17" s="28" t="s">
        <v>85</v>
      </c>
      <c r="Q17" s="34" t="s">
        <v>62</v>
      </c>
      <c r="R17" s="28">
        <v>5</v>
      </c>
      <c r="S17" s="29">
        <v>2</v>
      </c>
      <c r="T17" s="29">
        <v>1</v>
      </c>
      <c r="U17" s="29">
        <f t="shared" si="4"/>
        <v>9</v>
      </c>
      <c r="V17" s="31"/>
    </row>
    <row r="18" spans="1:22" s="30" customFormat="1" ht="12.75">
      <c r="A18" s="24">
        <f t="shared" si="0"/>
      </c>
      <c r="B18" s="24" t="s">
        <v>52</v>
      </c>
      <c r="C18" s="29">
        <f t="shared" si="5"/>
        <v>1.5</v>
      </c>
      <c r="D18" s="29">
        <f t="shared" si="1"/>
        <v>3.5</v>
      </c>
      <c r="E18" s="29">
        <f t="shared" si="6"/>
        <v>4</v>
      </c>
      <c r="F18" s="49" t="s">
        <v>64</v>
      </c>
      <c r="G18" s="31" t="s">
        <v>30</v>
      </c>
      <c r="H18" s="31" t="s">
        <v>18</v>
      </c>
      <c r="I18" s="35" t="s">
        <v>54</v>
      </c>
      <c r="J18" s="35" t="s">
        <v>54</v>
      </c>
      <c r="K18" s="27">
        <f t="shared" si="2"/>
        <v>5</v>
      </c>
      <c r="L18" s="29">
        <f ca="1" t="shared" si="3"/>
        <v>1</v>
      </c>
      <c r="M18" s="29"/>
      <c r="N18" s="28" t="s">
        <v>65</v>
      </c>
      <c r="O18" s="28" t="s">
        <v>76</v>
      </c>
      <c r="P18" s="28" t="s">
        <v>55</v>
      </c>
      <c r="Q18" s="34"/>
      <c r="R18" s="28">
        <v>1</v>
      </c>
      <c r="S18" s="29">
        <v>0</v>
      </c>
      <c r="T18" s="29">
        <v>0</v>
      </c>
      <c r="U18" s="29">
        <f t="shared" si="4"/>
        <v>4</v>
      </c>
      <c r="V18" s="31"/>
    </row>
    <row r="19" spans="1:22" s="30" customFormat="1" ht="12.75">
      <c r="A19" s="24">
        <f t="shared" si="0"/>
      </c>
      <c r="B19" s="24" t="s">
        <v>52</v>
      </c>
      <c r="C19" s="29">
        <f t="shared" si="5"/>
        <v>1.5</v>
      </c>
      <c r="D19" s="29">
        <f t="shared" si="1"/>
        <v>8.5</v>
      </c>
      <c r="E19" s="29">
        <f t="shared" si="6"/>
        <v>9</v>
      </c>
      <c r="F19" s="49" t="s">
        <v>67</v>
      </c>
      <c r="G19" s="31" t="s">
        <v>30</v>
      </c>
      <c r="H19" s="31" t="s">
        <v>18</v>
      </c>
      <c r="I19" s="35" t="s">
        <v>54</v>
      </c>
      <c r="J19" s="35" t="s">
        <v>54</v>
      </c>
      <c r="K19" s="27">
        <f t="shared" si="2"/>
        <v>10</v>
      </c>
      <c r="L19" s="29">
        <f ca="1" t="shared" si="3"/>
        <v>1</v>
      </c>
      <c r="M19" s="29"/>
      <c r="N19" s="28" t="s">
        <v>93</v>
      </c>
      <c r="O19" s="28" t="s">
        <v>66</v>
      </c>
      <c r="P19" s="28" t="s">
        <v>59</v>
      </c>
      <c r="Q19" s="34"/>
      <c r="R19" s="28">
        <v>4</v>
      </c>
      <c r="S19" s="29">
        <v>0</v>
      </c>
      <c r="T19" s="29">
        <v>0</v>
      </c>
      <c r="U19" s="29">
        <f t="shared" si="4"/>
        <v>2</v>
      </c>
      <c r="V19" s="31"/>
    </row>
    <row r="20" spans="1:22" s="30" customFormat="1" ht="12.75">
      <c r="A20" s="24">
        <f t="shared" si="0"/>
      </c>
      <c r="B20" s="24" t="s">
        <v>52</v>
      </c>
      <c r="C20" s="29">
        <f t="shared" si="5"/>
        <v>1.5</v>
      </c>
      <c r="D20" s="29">
        <f t="shared" si="1"/>
        <v>23.5</v>
      </c>
      <c r="E20" s="29">
        <f t="shared" si="6"/>
        <v>24</v>
      </c>
      <c r="F20" s="49" t="s">
        <v>68</v>
      </c>
      <c r="G20" s="31" t="s">
        <v>30</v>
      </c>
      <c r="H20" s="31" t="s">
        <v>18</v>
      </c>
      <c r="I20" s="35" t="s">
        <v>54</v>
      </c>
      <c r="J20" s="35" t="s">
        <v>54</v>
      </c>
      <c r="K20" s="27">
        <f t="shared" si="2"/>
        <v>25</v>
      </c>
      <c r="L20" s="29">
        <f ca="1" t="shared" si="3"/>
        <v>1</v>
      </c>
      <c r="M20" s="29"/>
      <c r="N20" s="28" t="s">
        <v>59</v>
      </c>
      <c r="O20" s="28" t="s">
        <v>66</v>
      </c>
      <c r="P20" s="28" t="s">
        <v>55</v>
      </c>
      <c r="Q20" s="34"/>
      <c r="R20" s="28">
        <v>15</v>
      </c>
      <c r="S20" s="29">
        <v>0</v>
      </c>
      <c r="T20" s="29">
        <v>0</v>
      </c>
      <c r="U20" s="29">
        <f t="shared" si="4"/>
        <v>2</v>
      </c>
      <c r="V20" s="31" t="s">
        <v>471</v>
      </c>
    </row>
    <row r="21" spans="1:22" s="30" customFormat="1" ht="12.75">
      <c r="A21" s="24">
        <f t="shared" si="0"/>
      </c>
      <c r="B21" s="24" t="s">
        <v>52</v>
      </c>
      <c r="C21" s="29">
        <f t="shared" si="5"/>
        <v>1.5</v>
      </c>
      <c r="D21" s="29">
        <f t="shared" si="1"/>
        <v>28.5</v>
      </c>
      <c r="E21" s="29">
        <f t="shared" si="6"/>
        <v>29</v>
      </c>
      <c r="F21" s="28" t="s">
        <v>69</v>
      </c>
      <c r="G21" s="26" t="s">
        <v>30</v>
      </c>
      <c r="H21" s="26" t="s">
        <v>18</v>
      </c>
      <c r="I21" s="52" t="s">
        <v>54</v>
      </c>
      <c r="J21" s="52" t="s">
        <v>54</v>
      </c>
      <c r="K21" s="27">
        <f t="shared" si="2"/>
        <v>30</v>
      </c>
      <c r="L21" s="29">
        <f ca="1" t="shared" si="3"/>
        <v>1</v>
      </c>
      <c r="M21" s="29"/>
      <c r="N21" s="28" t="s">
        <v>93</v>
      </c>
      <c r="O21" s="28" t="s">
        <v>94</v>
      </c>
      <c r="P21" s="28" t="s">
        <v>432</v>
      </c>
      <c r="Q21" s="34"/>
      <c r="R21" s="28">
        <v>4</v>
      </c>
      <c r="S21" s="29">
        <v>0</v>
      </c>
      <c r="T21" s="29">
        <v>1</v>
      </c>
      <c r="U21" s="29">
        <f t="shared" si="4"/>
        <v>6</v>
      </c>
      <c r="V21" s="31"/>
    </row>
    <row r="22" spans="1:22" s="30" customFormat="1" ht="12.75">
      <c r="A22" s="24">
        <f t="shared" si="0"/>
      </c>
      <c r="B22" s="24" t="s">
        <v>52</v>
      </c>
      <c r="C22" s="29">
        <f t="shared" si="5"/>
        <v>1.5</v>
      </c>
      <c r="D22" s="29">
        <f t="shared" si="1"/>
        <v>13.5</v>
      </c>
      <c r="E22" s="29">
        <f t="shared" si="6"/>
        <v>14</v>
      </c>
      <c r="F22" s="28" t="s">
        <v>70</v>
      </c>
      <c r="G22" s="26" t="s">
        <v>32</v>
      </c>
      <c r="H22" s="26" t="s">
        <v>18</v>
      </c>
      <c r="I22" s="52" t="s">
        <v>54</v>
      </c>
      <c r="J22" s="52" t="s">
        <v>54</v>
      </c>
      <c r="K22" s="27">
        <f t="shared" si="2"/>
        <v>15</v>
      </c>
      <c r="L22" s="29">
        <f ca="1" t="shared" si="3"/>
        <v>1</v>
      </c>
      <c r="M22" s="29"/>
      <c r="N22" s="28" t="s">
        <v>59</v>
      </c>
      <c r="O22" s="28" t="s">
        <v>94</v>
      </c>
      <c r="P22" s="28" t="s">
        <v>55</v>
      </c>
      <c r="Q22" s="34"/>
      <c r="R22" s="28">
        <v>4</v>
      </c>
      <c r="S22" s="29">
        <v>0</v>
      </c>
      <c r="T22" s="29">
        <v>0</v>
      </c>
      <c r="U22" s="29">
        <f t="shared" si="4"/>
        <v>3</v>
      </c>
      <c r="V22" s="31" t="s">
        <v>472</v>
      </c>
    </row>
    <row r="23" spans="1:22" s="30" customFormat="1" ht="12.75">
      <c r="A23" s="24">
        <f>IF(OR(B23="Y",B23="M"),K23,"")</f>
      </c>
      <c r="B23" s="24" t="s">
        <v>52</v>
      </c>
      <c r="C23" s="29">
        <f>IF(G23="","--",(L23-Sta+Int)/2)</f>
        <v>1.5</v>
      </c>
      <c r="D23" s="29">
        <f>IF(AND(K23&lt;&gt;"",K23&lt;&gt;"G"),K23-C23,"--")</f>
        <v>13.5</v>
      </c>
      <c r="E23" s="29">
        <f>IF(AND(K23&lt;&gt;"",K23&lt;&gt;"G"),K23-L23,"--")</f>
        <v>14</v>
      </c>
      <c r="F23" s="28" t="s">
        <v>433</v>
      </c>
      <c r="G23" s="26" t="s">
        <v>32</v>
      </c>
      <c r="H23" s="26" t="s">
        <v>18</v>
      </c>
      <c r="I23" s="52" t="s">
        <v>54</v>
      </c>
      <c r="J23" s="52" t="s">
        <v>54</v>
      </c>
      <c r="K23" s="27">
        <f t="shared" si="2"/>
        <v>15</v>
      </c>
      <c r="L23" s="29">
        <f ca="1">IF(G23="","--",IF(I23="",INDIRECT(G23),MIN(INDIRECT(G23),INDIRECT(LEFT(I23,2)),INDIRECT(RIGHT(I23,2))))+IF(J23="",INDIRECT(H23),MIN(INDIRECT(H23),INDIRECT(LEFT(J23,2)),INDIRECT(RIGHT(J23,2))))+Sta+IF(M23="",0,$G$2))</f>
        <v>1</v>
      </c>
      <c r="M23" s="29"/>
      <c r="N23" s="28" t="s">
        <v>59</v>
      </c>
      <c r="O23" s="28" t="s">
        <v>94</v>
      </c>
      <c r="P23" s="28" t="s">
        <v>55</v>
      </c>
      <c r="Q23" s="34"/>
      <c r="R23" s="28">
        <v>4</v>
      </c>
      <c r="S23" s="29">
        <v>0</v>
      </c>
      <c r="T23" s="29">
        <v>0</v>
      </c>
      <c r="U23" s="29">
        <f>S23+T23+VLOOKUP(N23,Ranges,2,FALSE)+VLOOKUP(O23,Durations,2,FALSE)+VLOOKUP(P23,Targets,2,FALSE)</f>
        <v>3</v>
      </c>
      <c r="V23" s="31" t="s">
        <v>473</v>
      </c>
    </row>
    <row r="24" spans="1:22" s="30" customFormat="1" ht="12.75">
      <c r="A24" s="24">
        <f t="shared" si="0"/>
      </c>
      <c r="B24" s="24" t="s">
        <v>52</v>
      </c>
      <c r="C24" s="29">
        <f t="shared" si="5"/>
        <v>1.5</v>
      </c>
      <c r="D24" s="29">
        <f t="shared" si="1"/>
        <v>13.5</v>
      </c>
      <c r="E24" s="29">
        <f t="shared" si="6"/>
        <v>14</v>
      </c>
      <c r="F24" s="28" t="s">
        <v>71</v>
      </c>
      <c r="G24" s="26" t="s">
        <v>32</v>
      </c>
      <c r="H24" s="26" t="s">
        <v>18</v>
      </c>
      <c r="I24" s="52" t="s">
        <v>54</v>
      </c>
      <c r="J24" s="52" t="s">
        <v>54</v>
      </c>
      <c r="K24" s="27">
        <f t="shared" si="2"/>
        <v>15</v>
      </c>
      <c r="L24" s="29">
        <f ca="1" t="shared" si="3"/>
        <v>1</v>
      </c>
      <c r="M24" s="29"/>
      <c r="N24" s="28" t="s">
        <v>59</v>
      </c>
      <c r="O24" s="28" t="s">
        <v>94</v>
      </c>
      <c r="P24" s="28" t="s">
        <v>55</v>
      </c>
      <c r="Q24" s="34"/>
      <c r="R24" s="28">
        <v>4</v>
      </c>
      <c r="S24" s="29">
        <v>0</v>
      </c>
      <c r="T24" s="29">
        <v>0</v>
      </c>
      <c r="U24" s="29">
        <f t="shared" si="4"/>
        <v>3</v>
      </c>
      <c r="V24" s="31" t="s">
        <v>474</v>
      </c>
    </row>
    <row r="25" spans="1:22" s="30" customFormat="1" ht="12.75">
      <c r="A25" s="24">
        <f>IF(OR(B25="Y",B25="M"),K25,"")</f>
      </c>
      <c r="B25" s="24" t="s">
        <v>52</v>
      </c>
      <c r="C25" s="29">
        <f>IF(G25="","--",(L25-Sta+Int)/2)</f>
        <v>1.5</v>
      </c>
      <c r="D25" s="29">
        <f>IF(AND(K25&lt;&gt;"",K25&lt;&gt;"G"),K25-C25,"--")</f>
        <v>18.5</v>
      </c>
      <c r="E25" s="29">
        <f>IF(AND(K25&lt;&gt;"",K25&lt;&gt;"G"),K25-L25,"--")</f>
        <v>19</v>
      </c>
      <c r="F25" s="28" t="s">
        <v>434</v>
      </c>
      <c r="G25" s="26" t="s">
        <v>32</v>
      </c>
      <c r="H25" s="26" t="s">
        <v>18</v>
      </c>
      <c r="I25" s="52" t="s">
        <v>54</v>
      </c>
      <c r="J25" s="52" t="s">
        <v>54</v>
      </c>
      <c r="K25" s="27">
        <f t="shared" si="2"/>
        <v>20</v>
      </c>
      <c r="L25" s="29">
        <f ca="1">IF(G25="","--",IF(I25="",INDIRECT(G25),MIN(INDIRECT(G25),INDIRECT(LEFT(I25,2)),INDIRECT(RIGHT(I25,2))))+IF(J25="",INDIRECT(H25),MIN(INDIRECT(H25),INDIRECT(LEFT(J25,2)),INDIRECT(RIGHT(J25,2))))+Sta+IF(M25="",0,$G$2))</f>
        <v>1</v>
      </c>
      <c r="M25" s="29"/>
      <c r="N25" s="28" t="s">
        <v>426</v>
      </c>
      <c r="O25" s="28" t="s">
        <v>94</v>
      </c>
      <c r="P25" s="28" t="s">
        <v>55</v>
      </c>
      <c r="Q25" s="34"/>
      <c r="R25" s="28">
        <v>4</v>
      </c>
      <c r="S25" s="29">
        <v>0</v>
      </c>
      <c r="T25" s="29">
        <v>0</v>
      </c>
      <c r="U25" s="29">
        <f>S25+T25+VLOOKUP(N25,Ranges,2,FALSE)+VLOOKUP(O25,Durations,2,FALSE)+VLOOKUP(P25,Targets,2,FALSE)</f>
        <v>4</v>
      </c>
      <c r="V25" s="31" t="s">
        <v>475</v>
      </c>
    </row>
    <row r="26" spans="1:22" s="30" customFormat="1" ht="12.75">
      <c r="A26" s="24">
        <f t="shared" si="0"/>
      </c>
      <c r="B26" s="24" t="s">
        <v>52</v>
      </c>
      <c r="C26" s="29">
        <f t="shared" si="5"/>
        <v>1.5</v>
      </c>
      <c r="D26" s="29">
        <f t="shared" si="1"/>
        <v>23.5</v>
      </c>
      <c r="E26" s="29">
        <f>IF(AND(K26&lt;&gt;"",K26&lt;&gt;"G"),K26-L26,"--")</f>
        <v>24</v>
      </c>
      <c r="F26" s="28" t="s">
        <v>72</v>
      </c>
      <c r="G26" s="26" t="s">
        <v>32</v>
      </c>
      <c r="H26" s="26" t="s">
        <v>18</v>
      </c>
      <c r="I26" s="52" t="s">
        <v>54</v>
      </c>
      <c r="J26" s="52" t="s">
        <v>21</v>
      </c>
      <c r="K26" s="27">
        <f t="shared" si="2"/>
        <v>25</v>
      </c>
      <c r="L26" s="29">
        <f ca="1" t="shared" si="3"/>
        <v>1</v>
      </c>
      <c r="M26" s="29"/>
      <c r="N26" s="28" t="s">
        <v>59</v>
      </c>
      <c r="O26" s="28" t="s">
        <v>94</v>
      </c>
      <c r="P26" s="28" t="s">
        <v>55</v>
      </c>
      <c r="Q26" s="34"/>
      <c r="R26" s="28">
        <v>10</v>
      </c>
      <c r="S26" s="29">
        <v>0</v>
      </c>
      <c r="T26" s="29">
        <v>0</v>
      </c>
      <c r="U26" s="29">
        <f t="shared" si="4"/>
        <v>3</v>
      </c>
      <c r="V26" s="31"/>
    </row>
    <row r="27" spans="1:22" s="30" customFormat="1" ht="12.75">
      <c r="A27" s="24">
        <f t="shared" si="0"/>
      </c>
      <c r="B27" s="24" t="s">
        <v>52</v>
      </c>
      <c r="C27" s="29">
        <f t="shared" si="5"/>
        <v>1.5</v>
      </c>
      <c r="D27" s="29">
        <f t="shared" si="1"/>
        <v>23.5</v>
      </c>
      <c r="E27" s="29">
        <f t="shared" si="6"/>
        <v>24</v>
      </c>
      <c r="F27" s="28" t="s">
        <v>74</v>
      </c>
      <c r="G27" s="47" t="s">
        <v>32</v>
      </c>
      <c r="H27" s="47" t="s">
        <v>18</v>
      </c>
      <c r="I27" s="53" t="s">
        <v>54</v>
      </c>
      <c r="J27" s="53" t="s">
        <v>54</v>
      </c>
      <c r="K27" s="27">
        <f t="shared" si="2"/>
        <v>25</v>
      </c>
      <c r="L27" s="29">
        <f ca="1" t="shared" si="3"/>
        <v>1</v>
      </c>
      <c r="M27" s="29"/>
      <c r="N27" s="28" t="s">
        <v>426</v>
      </c>
      <c r="O27" s="28" t="s">
        <v>94</v>
      </c>
      <c r="P27" s="28" t="s">
        <v>55</v>
      </c>
      <c r="Q27" s="34"/>
      <c r="R27" s="28">
        <v>5</v>
      </c>
      <c r="S27" s="29">
        <v>0</v>
      </c>
      <c r="T27" s="29">
        <v>0</v>
      </c>
      <c r="U27" s="29">
        <f t="shared" si="4"/>
        <v>4</v>
      </c>
      <c r="V27" s="31"/>
    </row>
    <row r="28" spans="1:22" s="30" customFormat="1" ht="12.75">
      <c r="A28" s="24">
        <f>IF(OR(B28="Y",B28="M"),K28,"")</f>
      </c>
      <c r="B28" s="24" t="s">
        <v>52</v>
      </c>
      <c r="C28" s="29">
        <f>IF(G28="","--",(L28-Sta+Int)/2)</f>
        <v>1.5</v>
      </c>
      <c r="D28" s="29">
        <f>IF(AND(K28&lt;&gt;"",K28&lt;&gt;"G"),K28-C28,"--")</f>
        <v>33.5</v>
      </c>
      <c r="E28" s="29">
        <f>IF(AND(K28&lt;&gt;"",K28&lt;&gt;"G"),K28-L28,"--")</f>
        <v>34</v>
      </c>
      <c r="F28" s="28" t="s">
        <v>73</v>
      </c>
      <c r="G28" s="26" t="s">
        <v>32</v>
      </c>
      <c r="H28" s="26" t="s">
        <v>18</v>
      </c>
      <c r="I28" s="52" t="s">
        <v>54</v>
      </c>
      <c r="J28" s="52" t="s">
        <v>54</v>
      </c>
      <c r="K28" s="27">
        <f t="shared" si="2"/>
        <v>35</v>
      </c>
      <c r="L28" s="29">
        <f ca="1">IF(G28="","--",IF(I28="",INDIRECT(G28),MIN(INDIRECT(G28),INDIRECT(LEFT(I28,2)),INDIRECT(RIGHT(I28,2))))+IF(J28="",INDIRECT(H28),MIN(INDIRECT(H28),INDIRECT(LEFT(J28,2)),INDIRECT(RIGHT(J28,2))))+Sta+IF(M28="",0,$G$2))</f>
        <v>1</v>
      </c>
      <c r="M28" s="29"/>
      <c r="N28" s="28" t="s">
        <v>59</v>
      </c>
      <c r="O28" s="28" t="s">
        <v>94</v>
      </c>
      <c r="P28" s="28" t="s">
        <v>55</v>
      </c>
      <c r="Q28" s="34"/>
      <c r="R28" s="28">
        <v>15</v>
      </c>
      <c r="S28" s="29">
        <v>1</v>
      </c>
      <c r="T28" s="29">
        <v>0</v>
      </c>
      <c r="U28" s="29">
        <f>S28+T28+VLOOKUP(N28,Ranges,2,FALSE)+VLOOKUP(O28,Durations,2,FALSE)+VLOOKUP(P28,Targets,2,FALSE)</f>
        <v>4</v>
      </c>
      <c r="V28" s="31" t="s">
        <v>476</v>
      </c>
    </row>
    <row r="29" spans="1:22" s="30" customFormat="1" ht="12.75">
      <c r="A29" s="24">
        <f>IF(OR(B29="Y",B29="M"),K29,"")</f>
      </c>
      <c r="B29" s="24" t="s">
        <v>52</v>
      </c>
      <c r="C29" s="29">
        <f>IF(G29="","--",(L29-Sta+Int)/2)</f>
        <v>1.5</v>
      </c>
      <c r="D29" s="29">
        <f>IF(AND(K29&lt;&gt;"",K29&lt;&gt;"G"),K29-C29,"--")</f>
        <v>8.5</v>
      </c>
      <c r="E29" s="29">
        <f>IF(AND(K29&lt;&gt;"",K29&lt;&gt;"G"),K29-L29,"--")</f>
        <v>9</v>
      </c>
      <c r="F29" s="28" t="s">
        <v>77</v>
      </c>
      <c r="G29" s="26" t="s">
        <v>33</v>
      </c>
      <c r="H29" s="26" t="s">
        <v>18</v>
      </c>
      <c r="I29" s="52" t="s">
        <v>54</v>
      </c>
      <c r="J29" s="52" t="s">
        <v>54</v>
      </c>
      <c r="K29" s="27">
        <f t="shared" si="2"/>
        <v>10</v>
      </c>
      <c r="L29" s="29">
        <f ca="1">IF(G29="","--",IF(I29="",INDIRECT(G29),MIN(INDIRECT(G29),INDIRECT(LEFT(I29,2)),INDIRECT(RIGHT(I29,2))))+IF(J29="",INDIRECT(H29),MIN(INDIRECT(H29),INDIRECT(LEFT(J29,2)),INDIRECT(RIGHT(J29,2))))+Sta+IF(M29="",0,$G$2))</f>
        <v>1</v>
      </c>
      <c r="M29" s="29"/>
      <c r="N29" s="28" t="s">
        <v>426</v>
      </c>
      <c r="O29" s="28" t="s">
        <v>76</v>
      </c>
      <c r="P29" s="28" t="s">
        <v>55</v>
      </c>
      <c r="Q29" s="34"/>
      <c r="R29" s="28">
        <v>4</v>
      </c>
      <c r="S29" s="29">
        <v>0</v>
      </c>
      <c r="T29" s="29">
        <v>0</v>
      </c>
      <c r="U29" s="29">
        <f>S29+T29+VLOOKUP(N29,Ranges,2,FALSE)+VLOOKUP(O29,Durations,2,FALSE)+VLOOKUP(P29,Targets,2,FALSE)</f>
        <v>2</v>
      </c>
      <c r="V29" s="31"/>
    </row>
    <row r="30" spans="1:22" s="30" customFormat="1" ht="12.75">
      <c r="A30" s="24">
        <f t="shared" si="0"/>
      </c>
      <c r="B30" s="24" t="s">
        <v>52</v>
      </c>
      <c r="C30" s="29">
        <f t="shared" si="5"/>
        <v>1.5</v>
      </c>
      <c r="D30" s="29">
        <f t="shared" si="1"/>
        <v>13.5</v>
      </c>
      <c r="E30" s="29">
        <f t="shared" si="6"/>
        <v>14</v>
      </c>
      <c r="F30" s="28" t="s">
        <v>75</v>
      </c>
      <c r="G30" s="26" t="s">
        <v>33</v>
      </c>
      <c r="H30" s="26" t="s">
        <v>18</v>
      </c>
      <c r="I30" s="52" t="s">
        <v>54</v>
      </c>
      <c r="J30" s="52" t="s">
        <v>54</v>
      </c>
      <c r="K30" s="27">
        <f t="shared" si="2"/>
        <v>15</v>
      </c>
      <c r="L30" s="29">
        <f ca="1" t="shared" si="3"/>
        <v>1</v>
      </c>
      <c r="M30" s="29"/>
      <c r="N30" s="28" t="s">
        <v>426</v>
      </c>
      <c r="O30" s="28" t="s">
        <v>66</v>
      </c>
      <c r="P30" s="28" t="s">
        <v>55</v>
      </c>
      <c r="Q30" s="34"/>
      <c r="R30" s="28">
        <v>4</v>
      </c>
      <c r="S30" s="29">
        <v>0</v>
      </c>
      <c r="T30" s="29">
        <v>0</v>
      </c>
      <c r="U30" s="29">
        <f t="shared" si="4"/>
        <v>3</v>
      </c>
      <c r="V30" s="31" t="s">
        <v>477</v>
      </c>
    </row>
    <row r="31" spans="1:22" s="30" customFormat="1" ht="12.75">
      <c r="A31" s="24">
        <f t="shared" si="0"/>
      </c>
      <c r="B31" s="24" t="s">
        <v>52</v>
      </c>
      <c r="C31" s="29">
        <f t="shared" si="5"/>
        <v>1.5</v>
      </c>
      <c r="D31" s="29">
        <f t="shared" si="1"/>
        <v>18.5</v>
      </c>
      <c r="E31" s="29">
        <f t="shared" si="6"/>
        <v>19</v>
      </c>
      <c r="F31" s="28" t="s">
        <v>435</v>
      </c>
      <c r="G31" s="26" t="s">
        <v>33</v>
      </c>
      <c r="H31" s="26" t="s">
        <v>18</v>
      </c>
      <c r="I31" s="52" t="s">
        <v>54</v>
      </c>
      <c r="J31" s="52" t="s">
        <v>54</v>
      </c>
      <c r="K31" s="27">
        <f t="shared" si="2"/>
        <v>20</v>
      </c>
      <c r="L31" s="29">
        <f ca="1" t="shared" si="3"/>
        <v>1</v>
      </c>
      <c r="M31" s="29"/>
      <c r="N31" s="28" t="s">
        <v>426</v>
      </c>
      <c r="O31" s="28" t="s">
        <v>76</v>
      </c>
      <c r="P31" s="28" t="s">
        <v>55</v>
      </c>
      <c r="Q31" s="34"/>
      <c r="R31" s="28">
        <v>5</v>
      </c>
      <c r="S31" s="29">
        <v>1</v>
      </c>
      <c r="T31" s="29">
        <v>0</v>
      </c>
      <c r="U31" s="29">
        <f t="shared" si="4"/>
        <v>3</v>
      </c>
      <c r="V31" s="31" t="s">
        <v>478</v>
      </c>
    </row>
    <row r="32" spans="1:22" s="30" customFormat="1" ht="12.75">
      <c r="A32" s="24">
        <f t="shared" si="0"/>
      </c>
      <c r="B32" s="24" t="s">
        <v>52</v>
      </c>
      <c r="C32" s="29">
        <f t="shared" si="5"/>
        <v>1.5</v>
      </c>
      <c r="D32" s="29">
        <f t="shared" si="1"/>
        <v>23.5</v>
      </c>
      <c r="E32" s="29">
        <f t="shared" si="6"/>
        <v>24</v>
      </c>
      <c r="F32" s="28" t="s">
        <v>78</v>
      </c>
      <c r="G32" s="26" t="s">
        <v>33</v>
      </c>
      <c r="H32" s="26" t="s">
        <v>18</v>
      </c>
      <c r="I32" s="52" t="s">
        <v>54</v>
      </c>
      <c r="J32" s="52" t="s">
        <v>54</v>
      </c>
      <c r="K32" s="27">
        <f t="shared" si="2"/>
        <v>25</v>
      </c>
      <c r="L32" s="29">
        <f ca="1" t="shared" si="3"/>
        <v>1</v>
      </c>
      <c r="M32" s="29"/>
      <c r="N32" s="28" t="s">
        <v>426</v>
      </c>
      <c r="O32" s="28" t="s">
        <v>76</v>
      </c>
      <c r="P32" s="28" t="s">
        <v>55</v>
      </c>
      <c r="Q32" s="34"/>
      <c r="R32" s="28">
        <v>15</v>
      </c>
      <c r="S32" s="29">
        <v>0</v>
      </c>
      <c r="T32" s="29">
        <v>0</v>
      </c>
      <c r="U32" s="29">
        <f t="shared" si="4"/>
        <v>2</v>
      </c>
      <c r="V32" s="31" t="s">
        <v>479</v>
      </c>
    </row>
    <row r="33" spans="1:22" s="30" customFormat="1" ht="12.75">
      <c r="A33" s="24">
        <f t="shared" si="0"/>
      </c>
      <c r="B33" s="24" t="s">
        <v>52</v>
      </c>
      <c r="C33" s="29">
        <f t="shared" si="5"/>
        <v>1.5</v>
      </c>
      <c r="D33" s="29">
        <f t="shared" si="1"/>
        <v>23.5</v>
      </c>
      <c r="E33" s="29">
        <f t="shared" si="6"/>
        <v>24</v>
      </c>
      <c r="F33" s="28" t="s">
        <v>79</v>
      </c>
      <c r="G33" s="26" t="s">
        <v>33</v>
      </c>
      <c r="H33" s="26" t="s">
        <v>18</v>
      </c>
      <c r="I33" s="52" t="s">
        <v>54</v>
      </c>
      <c r="J33" s="52" t="s">
        <v>54</v>
      </c>
      <c r="K33" s="27">
        <f t="shared" si="2"/>
        <v>25</v>
      </c>
      <c r="L33" s="29">
        <f ca="1" t="shared" si="3"/>
        <v>1</v>
      </c>
      <c r="M33" s="29"/>
      <c r="N33" s="28" t="s">
        <v>59</v>
      </c>
      <c r="O33" s="28" t="s">
        <v>76</v>
      </c>
      <c r="P33" s="28" t="s">
        <v>55</v>
      </c>
      <c r="Q33" s="34"/>
      <c r="R33" s="28">
        <v>20</v>
      </c>
      <c r="S33" s="29">
        <v>0</v>
      </c>
      <c r="T33" s="29">
        <v>0</v>
      </c>
      <c r="U33" s="29">
        <f t="shared" si="4"/>
        <v>1</v>
      </c>
      <c r="V33" s="31" t="s">
        <v>479</v>
      </c>
    </row>
    <row r="34" spans="1:22" s="30" customFormat="1" ht="12.75">
      <c r="A34" s="24">
        <f>IF(OR(B34="Y",B34="M"),K34,"")</f>
      </c>
      <c r="B34" s="24" t="s">
        <v>52</v>
      </c>
      <c r="C34" s="29">
        <f>IF(G34="","--",(L34-Sta+Int)/2)</f>
        <v>1.5</v>
      </c>
      <c r="D34" s="29" t="str">
        <f>IF(AND(K34&lt;&gt;"",K34&lt;&gt;"G"),K34-C34,"--")</f>
        <v>--</v>
      </c>
      <c r="E34" s="29" t="str">
        <f>IF(AND(K34&lt;&gt;"",K34&lt;&gt;"G"),K34-L34,"--")</f>
        <v>--</v>
      </c>
      <c r="F34" s="50" t="s">
        <v>88</v>
      </c>
      <c r="G34" s="26" t="s">
        <v>35</v>
      </c>
      <c r="H34" s="26" t="s">
        <v>18</v>
      </c>
      <c r="I34" s="52" t="s">
        <v>54</v>
      </c>
      <c r="J34" s="52" t="s">
        <v>54</v>
      </c>
      <c r="K34" s="34" t="str">
        <f>IF(R34="G","G",IF(R34&gt;=5,R34+U34*5,IF((R34+U34)&lt;=5,(R34+U34),(5+5*(R34+U34-5)))))</f>
        <v>G</v>
      </c>
      <c r="L34" s="29">
        <f ca="1">IF(G34="","--",IF(I34="",INDIRECT(G34),MIN(INDIRECT(G34),INDIRECT(LEFT(I34,2)),INDIRECT(RIGHT(I34,2))))+IF(J34="",INDIRECT(H34),MIN(INDIRECT(H34),INDIRECT(LEFT(J34,2)),INDIRECT(RIGHT(J34,2))))+Sta+IF(M34="",0,$G$2))</f>
        <v>1</v>
      </c>
      <c r="M34" s="29"/>
      <c r="N34" s="28" t="s">
        <v>59</v>
      </c>
      <c r="O34" s="28" t="s">
        <v>89</v>
      </c>
      <c r="P34" s="28" t="s">
        <v>160</v>
      </c>
      <c r="Q34" s="34"/>
      <c r="R34" s="28" t="s">
        <v>63</v>
      </c>
      <c r="S34" s="29">
        <v>0</v>
      </c>
      <c r="T34" s="29">
        <v>0</v>
      </c>
      <c r="U34" s="29">
        <f>S34+T34+VLOOKUP(N34,Ranges,2,FALSE)+VLOOKUP(O34,Durations,2,FALSE)+VLOOKUP(P34,Targets,2,FALSE)</f>
        <v>3</v>
      </c>
      <c r="V34" s="31" t="s">
        <v>439</v>
      </c>
    </row>
    <row r="35" spans="1:22" s="30" customFormat="1" ht="12.75">
      <c r="A35" s="24">
        <f t="shared" si="0"/>
      </c>
      <c r="B35" s="24" t="s">
        <v>52</v>
      </c>
      <c r="C35" s="29">
        <f t="shared" si="5"/>
        <v>1.5</v>
      </c>
      <c r="D35" s="29">
        <f t="shared" si="1"/>
        <v>3.5</v>
      </c>
      <c r="E35" s="29">
        <f t="shared" si="6"/>
        <v>4</v>
      </c>
      <c r="F35" s="28" t="s">
        <v>80</v>
      </c>
      <c r="G35" s="26" t="s">
        <v>35</v>
      </c>
      <c r="H35" s="26" t="s">
        <v>18</v>
      </c>
      <c r="I35" s="52" t="s">
        <v>54</v>
      </c>
      <c r="J35" s="52" t="s">
        <v>54</v>
      </c>
      <c r="K35" s="27">
        <f aca="true" t="shared" si="7" ref="K35:K97">IF(R35="G","G",IF(R35&gt;=5,R35+U35*5,IF((R35+U35)&lt;=5,(R35+U35),(5+5*(R35+U35-5)))))</f>
        <v>5</v>
      </c>
      <c r="L35" s="29">
        <f ca="1" t="shared" si="3"/>
        <v>1</v>
      </c>
      <c r="M35" s="29"/>
      <c r="N35" s="28" t="s">
        <v>426</v>
      </c>
      <c r="O35" s="28" t="s">
        <v>66</v>
      </c>
      <c r="P35" s="28" t="s">
        <v>55</v>
      </c>
      <c r="Q35" s="34"/>
      <c r="R35" s="28">
        <v>2</v>
      </c>
      <c r="S35" s="29">
        <v>0</v>
      </c>
      <c r="T35" s="29">
        <v>0</v>
      </c>
      <c r="U35" s="29">
        <f t="shared" si="4"/>
        <v>3</v>
      </c>
      <c r="V35" s="31"/>
    </row>
    <row r="36" spans="1:22" s="30" customFormat="1" ht="12.75">
      <c r="A36" s="24">
        <f>IF(OR(B36="Y",B36="M"),K36,"")</f>
      </c>
      <c r="B36" s="24" t="s">
        <v>52</v>
      </c>
      <c r="C36" s="29">
        <f>IF(G36="","--",(L36-Sta+Int)/2)</f>
        <v>1.5</v>
      </c>
      <c r="D36" s="29">
        <f>IF(AND(K36&lt;&gt;"",K36&lt;&gt;"G"),K36-C36,"--")</f>
        <v>3.5</v>
      </c>
      <c r="E36" s="29">
        <f>IF(AND(K36&lt;&gt;"",K36&lt;&gt;"G"),K36-L36,"--")</f>
        <v>4</v>
      </c>
      <c r="F36" s="28" t="s">
        <v>84</v>
      </c>
      <c r="G36" s="26" t="s">
        <v>35</v>
      </c>
      <c r="H36" s="26" t="s">
        <v>18</v>
      </c>
      <c r="I36" s="52" t="s">
        <v>54</v>
      </c>
      <c r="J36" s="52" t="s">
        <v>54</v>
      </c>
      <c r="K36" s="27">
        <f>IF(R36="G","G",IF(R36&gt;=5,R36+U36*5,IF((R36+U36)&lt;=5,(R36+U36),(5+5*(R36+U36-5)))))</f>
        <v>5</v>
      </c>
      <c r="L36" s="29">
        <f ca="1">IF(G36="","--",IF(I36="",INDIRECT(G36),MIN(INDIRECT(G36),INDIRECT(LEFT(I36,2)),INDIRECT(RIGHT(I36,2))))+IF(J36="",INDIRECT(H36),MIN(INDIRECT(H36),INDIRECT(LEFT(J36,2)),INDIRECT(RIGHT(J36,2))))+Sta+IF(M36="",0,$G$2))</f>
        <v>1</v>
      </c>
      <c r="M36" s="29"/>
      <c r="N36" s="28" t="s">
        <v>59</v>
      </c>
      <c r="O36" s="28" t="s">
        <v>89</v>
      </c>
      <c r="P36" s="28" t="s">
        <v>160</v>
      </c>
      <c r="Q36" s="34"/>
      <c r="R36" s="28">
        <v>2</v>
      </c>
      <c r="S36" s="29">
        <v>0</v>
      </c>
      <c r="T36" s="29">
        <v>0</v>
      </c>
      <c r="U36" s="29">
        <f>S36+T36+VLOOKUP(N36,Ranges,2,FALSE)+VLOOKUP(O36,Durations,2,FALSE)+VLOOKUP(P36,Targets,2,FALSE)</f>
        <v>3</v>
      </c>
      <c r="V36" s="31" t="s">
        <v>439</v>
      </c>
    </row>
    <row r="37" spans="1:22" s="30" customFormat="1" ht="12.75">
      <c r="A37" s="24">
        <f t="shared" si="0"/>
      </c>
      <c r="B37" s="24" t="s">
        <v>52</v>
      </c>
      <c r="C37" s="29">
        <f t="shared" si="5"/>
        <v>1.5</v>
      </c>
      <c r="D37" s="29">
        <f t="shared" si="1"/>
        <v>8.5</v>
      </c>
      <c r="E37" s="29">
        <f t="shared" si="6"/>
        <v>9</v>
      </c>
      <c r="F37" s="28" t="s">
        <v>81</v>
      </c>
      <c r="G37" s="26" t="s">
        <v>35</v>
      </c>
      <c r="H37" s="26" t="s">
        <v>18</v>
      </c>
      <c r="I37" s="52" t="s">
        <v>54</v>
      </c>
      <c r="J37" s="52" t="s">
        <v>54</v>
      </c>
      <c r="K37" s="27">
        <f t="shared" si="7"/>
        <v>10</v>
      </c>
      <c r="L37" s="29">
        <f ca="1" t="shared" si="3"/>
        <v>1</v>
      </c>
      <c r="M37" s="29"/>
      <c r="N37" s="28" t="s">
        <v>426</v>
      </c>
      <c r="O37" s="28" t="s">
        <v>76</v>
      </c>
      <c r="P37" s="28" t="s">
        <v>55</v>
      </c>
      <c r="Q37" s="34"/>
      <c r="R37" s="28">
        <v>4</v>
      </c>
      <c r="S37" s="29">
        <v>0</v>
      </c>
      <c r="T37" s="29">
        <v>0</v>
      </c>
      <c r="U37" s="29">
        <f t="shared" si="4"/>
        <v>2</v>
      </c>
      <c r="V37" s="31"/>
    </row>
    <row r="38" spans="1:22" s="30" customFormat="1" ht="12.75">
      <c r="A38" s="24">
        <f t="shared" si="0"/>
      </c>
      <c r="B38" s="24" t="s">
        <v>52</v>
      </c>
      <c r="C38" s="29">
        <f t="shared" si="5"/>
        <v>1.5</v>
      </c>
      <c r="D38" s="29">
        <f t="shared" si="1"/>
        <v>13.5</v>
      </c>
      <c r="E38" s="29">
        <f t="shared" si="6"/>
        <v>14</v>
      </c>
      <c r="F38" s="28" t="s">
        <v>82</v>
      </c>
      <c r="G38" s="26" t="s">
        <v>35</v>
      </c>
      <c r="H38" s="26" t="s">
        <v>18</v>
      </c>
      <c r="I38" s="52" t="s">
        <v>54</v>
      </c>
      <c r="J38" s="52" t="s">
        <v>54</v>
      </c>
      <c r="K38" s="27">
        <f t="shared" si="7"/>
        <v>15</v>
      </c>
      <c r="L38" s="29">
        <f ca="1" t="shared" si="3"/>
        <v>1</v>
      </c>
      <c r="M38" s="29"/>
      <c r="N38" s="28" t="s">
        <v>420</v>
      </c>
      <c r="O38" s="28" t="s">
        <v>66</v>
      </c>
      <c r="P38" s="28" t="s">
        <v>55</v>
      </c>
      <c r="Q38" s="34"/>
      <c r="R38" s="28">
        <v>5</v>
      </c>
      <c r="S38" s="29">
        <v>0</v>
      </c>
      <c r="T38" s="29">
        <v>0</v>
      </c>
      <c r="U38" s="29">
        <f t="shared" si="4"/>
        <v>2</v>
      </c>
      <c r="V38" s="31" t="s">
        <v>480</v>
      </c>
    </row>
    <row r="39" spans="1:22" s="30" customFormat="1" ht="12.75">
      <c r="A39" s="24">
        <f t="shared" si="0"/>
      </c>
      <c r="B39" s="24" t="s">
        <v>52</v>
      </c>
      <c r="C39" s="29">
        <f t="shared" si="5"/>
        <v>1.5</v>
      </c>
      <c r="D39" s="29">
        <f t="shared" si="1"/>
        <v>13.5</v>
      </c>
      <c r="E39" s="29">
        <f t="shared" si="6"/>
        <v>14</v>
      </c>
      <c r="F39" s="28" t="s">
        <v>481</v>
      </c>
      <c r="G39" s="26" t="s">
        <v>35</v>
      </c>
      <c r="H39" s="26" t="s">
        <v>18</v>
      </c>
      <c r="I39" s="52" t="s">
        <v>54</v>
      </c>
      <c r="J39" s="52" t="s">
        <v>54</v>
      </c>
      <c r="K39" s="27">
        <f t="shared" si="7"/>
        <v>15</v>
      </c>
      <c r="L39" s="29">
        <f ca="1" t="shared" si="3"/>
        <v>1</v>
      </c>
      <c r="M39" s="29"/>
      <c r="N39" s="28" t="s">
        <v>420</v>
      </c>
      <c r="O39" s="28" t="s">
        <v>66</v>
      </c>
      <c r="P39" s="28" t="s">
        <v>55</v>
      </c>
      <c r="Q39" s="34"/>
      <c r="R39" s="28">
        <v>5</v>
      </c>
      <c r="S39" s="29">
        <v>0</v>
      </c>
      <c r="T39" s="29">
        <v>0</v>
      </c>
      <c r="U39" s="29">
        <f t="shared" si="4"/>
        <v>2</v>
      </c>
      <c r="V39" s="31"/>
    </row>
    <row r="40" spans="1:22" s="30" customFormat="1" ht="12.75">
      <c r="A40" s="24">
        <f t="shared" si="0"/>
      </c>
      <c r="B40" s="24" t="s">
        <v>52</v>
      </c>
      <c r="C40" s="29">
        <f t="shared" si="5"/>
        <v>1.5</v>
      </c>
      <c r="D40" s="29">
        <f t="shared" si="1"/>
        <v>23.5</v>
      </c>
      <c r="E40" s="29">
        <f t="shared" si="6"/>
        <v>24</v>
      </c>
      <c r="F40" s="28" t="s">
        <v>83</v>
      </c>
      <c r="G40" s="26" t="s">
        <v>35</v>
      </c>
      <c r="H40" s="26" t="s">
        <v>18</v>
      </c>
      <c r="I40" s="52" t="s">
        <v>54</v>
      </c>
      <c r="J40" s="52" t="s">
        <v>54</v>
      </c>
      <c r="K40" s="27">
        <f t="shared" si="7"/>
        <v>25</v>
      </c>
      <c r="L40" s="29">
        <f ca="1" t="shared" si="3"/>
        <v>1</v>
      </c>
      <c r="M40" s="29"/>
      <c r="N40" s="28" t="s">
        <v>420</v>
      </c>
      <c r="O40" s="28" t="s">
        <v>66</v>
      </c>
      <c r="P40" s="28" t="s">
        <v>55</v>
      </c>
      <c r="Q40" s="34"/>
      <c r="R40" s="28">
        <v>10</v>
      </c>
      <c r="S40" s="29">
        <v>1</v>
      </c>
      <c r="T40" s="29">
        <v>0</v>
      </c>
      <c r="U40" s="29">
        <f t="shared" si="4"/>
        <v>3</v>
      </c>
      <c r="V40" s="31" t="s">
        <v>482</v>
      </c>
    </row>
    <row r="41" spans="1:22" s="30" customFormat="1" ht="12.75">
      <c r="A41" s="24">
        <f t="shared" si="0"/>
      </c>
      <c r="B41" s="24" t="s">
        <v>52</v>
      </c>
      <c r="C41" s="29">
        <f t="shared" si="5"/>
        <v>1.5</v>
      </c>
      <c r="D41" s="29">
        <f t="shared" si="1"/>
        <v>23.5</v>
      </c>
      <c r="E41" s="29">
        <f t="shared" si="6"/>
        <v>24</v>
      </c>
      <c r="F41" s="28" t="s">
        <v>86</v>
      </c>
      <c r="G41" s="26" t="s">
        <v>35</v>
      </c>
      <c r="H41" s="26" t="s">
        <v>18</v>
      </c>
      <c r="I41" s="52" t="s">
        <v>54</v>
      </c>
      <c r="J41" s="52" t="s">
        <v>54</v>
      </c>
      <c r="K41" s="27">
        <f t="shared" si="7"/>
        <v>25</v>
      </c>
      <c r="L41" s="29">
        <f ca="1" t="shared" si="3"/>
        <v>1</v>
      </c>
      <c r="M41" s="29"/>
      <c r="N41" s="28" t="s">
        <v>59</v>
      </c>
      <c r="O41" s="28" t="s">
        <v>66</v>
      </c>
      <c r="P41" s="28" t="s">
        <v>55</v>
      </c>
      <c r="Q41" s="34"/>
      <c r="R41" s="28">
        <v>15</v>
      </c>
      <c r="S41" s="29">
        <v>0</v>
      </c>
      <c r="T41" s="29">
        <v>0</v>
      </c>
      <c r="U41" s="29">
        <f t="shared" si="4"/>
        <v>2</v>
      </c>
      <c r="V41" s="31"/>
    </row>
    <row r="42" spans="1:22" s="30" customFormat="1" ht="12.75">
      <c r="A42" s="24">
        <f t="shared" si="0"/>
      </c>
      <c r="B42" s="24" t="s">
        <v>52</v>
      </c>
      <c r="C42" s="29">
        <f t="shared" si="5"/>
        <v>1.5</v>
      </c>
      <c r="D42" s="29">
        <f t="shared" si="1"/>
        <v>28.5</v>
      </c>
      <c r="E42" s="29">
        <f t="shared" si="6"/>
        <v>29</v>
      </c>
      <c r="F42" s="28" t="s">
        <v>87</v>
      </c>
      <c r="G42" s="26" t="s">
        <v>35</v>
      </c>
      <c r="H42" s="26" t="s">
        <v>18</v>
      </c>
      <c r="I42" s="52" t="s">
        <v>54</v>
      </c>
      <c r="J42" s="52" t="s">
        <v>54</v>
      </c>
      <c r="K42" s="27">
        <f t="shared" si="7"/>
        <v>30</v>
      </c>
      <c r="L42" s="29">
        <f ca="1" t="shared" si="3"/>
        <v>1</v>
      </c>
      <c r="M42" s="29"/>
      <c r="N42" s="28" t="s">
        <v>59</v>
      </c>
      <c r="O42" s="28" t="s">
        <v>94</v>
      </c>
      <c r="P42" s="28" t="s">
        <v>55</v>
      </c>
      <c r="Q42" s="34"/>
      <c r="R42" s="28">
        <v>15</v>
      </c>
      <c r="S42" s="29">
        <v>0</v>
      </c>
      <c r="T42" s="29">
        <v>0</v>
      </c>
      <c r="U42" s="29">
        <f t="shared" si="4"/>
        <v>3</v>
      </c>
      <c r="V42" s="31"/>
    </row>
    <row r="43" spans="1:22" s="30" customFormat="1" ht="12.75">
      <c r="A43" s="24">
        <f>IF(OR(B43="Y",B43="M"),K43,"")</f>
      </c>
      <c r="B43" s="24" t="s">
        <v>52</v>
      </c>
      <c r="C43" s="29">
        <f>IF(G43="","--",(L43-Sta+Int)/2)</f>
        <v>1.5</v>
      </c>
      <c r="D43" s="29">
        <f>IF(AND(K43&lt;&gt;"",K43&lt;&gt;"G"),K43-C43,"--")</f>
        <v>3.5</v>
      </c>
      <c r="E43" s="29">
        <f>IF(AND(K43&lt;&gt;"",K43&lt;&gt;"G"),K43-L43,"--")</f>
        <v>4</v>
      </c>
      <c r="F43" s="28" t="s">
        <v>91</v>
      </c>
      <c r="G43" s="26" t="s">
        <v>29</v>
      </c>
      <c r="H43" s="26" t="s">
        <v>19</v>
      </c>
      <c r="I43" s="52" t="s">
        <v>54</v>
      </c>
      <c r="J43" s="52" t="s">
        <v>54</v>
      </c>
      <c r="K43" s="27">
        <f>IF(R43="G","G",IF(R43&gt;=5,R43+U43*5,IF((R43+U43)&lt;=5,(R43+U43),(5+5*(R43+U43-5)))))</f>
        <v>5</v>
      </c>
      <c r="L43" s="29">
        <f ca="1">IF(G43="","--",IF(I43="",INDIRECT(G43),MIN(INDIRECT(G43),INDIRECT(LEFT(I43,2)),INDIRECT(RIGHT(I43,2))))+IF(J43="",INDIRECT(H43),MIN(INDIRECT(H43),INDIRECT(LEFT(J43,2)),INDIRECT(RIGHT(J43,2))))+Sta+IF(M43="",0,$G$2))</f>
        <v>1</v>
      </c>
      <c r="M43" s="29"/>
      <c r="N43" s="28" t="s">
        <v>59</v>
      </c>
      <c r="O43" s="28" t="s">
        <v>265</v>
      </c>
      <c r="P43" s="28" t="s">
        <v>55</v>
      </c>
      <c r="Q43" s="34"/>
      <c r="R43" s="28">
        <v>3</v>
      </c>
      <c r="S43" s="29">
        <v>0</v>
      </c>
      <c r="T43" s="29">
        <v>0</v>
      </c>
      <c r="U43" s="29">
        <f>S43+T43+VLOOKUP(N43,Ranges,2,FALSE)+VLOOKUP(O43,Durations,2,FALSE)+VLOOKUP(P43,Targets,2,FALSE)</f>
        <v>2</v>
      </c>
      <c r="V43" s="31"/>
    </row>
    <row r="44" spans="1:22" s="30" customFormat="1" ht="12.75">
      <c r="A44" s="24">
        <f t="shared" si="0"/>
      </c>
      <c r="B44" s="24" t="s">
        <v>52</v>
      </c>
      <c r="C44" s="29">
        <f t="shared" si="5"/>
        <v>1.5</v>
      </c>
      <c r="D44" s="29">
        <f t="shared" si="1"/>
        <v>13.5</v>
      </c>
      <c r="E44" s="29">
        <f t="shared" si="6"/>
        <v>14</v>
      </c>
      <c r="F44" s="28" t="s">
        <v>90</v>
      </c>
      <c r="G44" s="26" t="s">
        <v>29</v>
      </c>
      <c r="H44" s="26" t="s">
        <v>19</v>
      </c>
      <c r="I44" s="52" t="s">
        <v>54</v>
      </c>
      <c r="J44" s="52"/>
      <c r="K44" s="27">
        <f t="shared" si="7"/>
        <v>15</v>
      </c>
      <c r="L44" s="29">
        <f ca="1" t="shared" si="3"/>
        <v>1</v>
      </c>
      <c r="M44" s="29"/>
      <c r="N44" s="28" t="s">
        <v>426</v>
      </c>
      <c r="O44" s="28" t="s">
        <v>94</v>
      </c>
      <c r="P44" s="28" t="s">
        <v>55</v>
      </c>
      <c r="Q44" s="34"/>
      <c r="R44" s="28">
        <v>3</v>
      </c>
      <c r="S44" s="29">
        <v>0</v>
      </c>
      <c r="T44" s="29">
        <v>0</v>
      </c>
      <c r="U44" s="29">
        <f t="shared" si="4"/>
        <v>4</v>
      </c>
      <c r="V44" s="31"/>
    </row>
    <row r="45" spans="1:22" s="30" customFormat="1" ht="12.75">
      <c r="A45" s="24">
        <f t="shared" si="0"/>
      </c>
      <c r="B45" s="24" t="s">
        <v>52</v>
      </c>
      <c r="C45" s="29">
        <f t="shared" si="5"/>
        <v>1.5</v>
      </c>
      <c r="D45" s="29">
        <f t="shared" si="1"/>
        <v>18.5</v>
      </c>
      <c r="E45" s="29">
        <f t="shared" si="6"/>
        <v>19</v>
      </c>
      <c r="F45" s="28" t="s">
        <v>92</v>
      </c>
      <c r="G45" s="26" t="s">
        <v>29</v>
      </c>
      <c r="H45" s="26" t="s">
        <v>19</v>
      </c>
      <c r="I45" s="52" t="s">
        <v>54</v>
      </c>
      <c r="J45" s="52" t="s">
        <v>54</v>
      </c>
      <c r="K45" s="27">
        <f t="shared" si="7"/>
        <v>20</v>
      </c>
      <c r="L45" s="29">
        <f ca="1" t="shared" si="3"/>
        <v>1</v>
      </c>
      <c r="M45" s="29"/>
      <c r="N45" s="28" t="s">
        <v>426</v>
      </c>
      <c r="O45" s="28" t="s">
        <v>76</v>
      </c>
      <c r="P45" s="28" t="s">
        <v>55</v>
      </c>
      <c r="Q45" s="34"/>
      <c r="R45" s="28">
        <v>10</v>
      </c>
      <c r="S45" s="29">
        <v>0</v>
      </c>
      <c r="T45" s="29">
        <v>0</v>
      </c>
      <c r="U45" s="29">
        <f t="shared" si="4"/>
        <v>2</v>
      </c>
      <c r="V45" s="94" t="s">
        <v>483</v>
      </c>
    </row>
    <row r="46" spans="1:22" s="30" customFormat="1" ht="12.75">
      <c r="A46" s="24">
        <f t="shared" si="0"/>
      </c>
      <c r="B46" s="24" t="s">
        <v>52</v>
      </c>
      <c r="C46" s="29">
        <f t="shared" si="5"/>
        <v>1.5</v>
      </c>
      <c r="D46" s="29">
        <f t="shared" si="1"/>
        <v>38.5</v>
      </c>
      <c r="E46" s="29">
        <f t="shared" si="6"/>
        <v>39</v>
      </c>
      <c r="F46" s="28" t="s">
        <v>95</v>
      </c>
      <c r="G46" s="26" t="s">
        <v>29</v>
      </c>
      <c r="H46" s="26" t="s">
        <v>19</v>
      </c>
      <c r="I46" s="52" t="s">
        <v>54</v>
      </c>
      <c r="J46" s="52" t="s">
        <v>54</v>
      </c>
      <c r="K46" s="27">
        <f t="shared" si="7"/>
        <v>40</v>
      </c>
      <c r="L46" s="29">
        <f ca="1" t="shared" si="3"/>
        <v>1</v>
      </c>
      <c r="M46" s="29"/>
      <c r="N46" s="28" t="s">
        <v>426</v>
      </c>
      <c r="O46" s="28" t="s">
        <v>66</v>
      </c>
      <c r="P46" s="28" t="s">
        <v>55</v>
      </c>
      <c r="Q46" s="34"/>
      <c r="R46" s="28">
        <v>10</v>
      </c>
      <c r="S46" s="29">
        <v>3</v>
      </c>
      <c r="T46" s="29">
        <v>0</v>
      </c>
      <c r="U46" s="29">
        <f t="shared" si="4"/>
        <v>6</v>
      </c>
      <c r="V46" s="94" t="s">
        <v>484</v>
      </c>
    </row>
    <row r="47" spans="1:22" s="30" customFormat="1" ht="12.75">
      <c r="A47" s="24">
        <f>IF(OR(B47="Y",B47="M"),K47,"")</f>
      </c>
      <c r="B47" s="24" t="s">
        <v>52</v>
      </c>
      <c r="C47" s="29">
        <f>IF(G47="","--",(L47-Sta+Int)/2)</f>
        <v>1.5</v>
      </c>
      <c r="D47" s="29">
        <f>IF(AND(K47&lt;&gt;"",K47&lt;&gt;"G"),K47-C47,"--")</f>
        <v>3.5</v>
      </c>
      <c r="E47" s="29">
        <f>IF(AND(K47&lt;&gt;"",K47&lt;&gt;"G"),K47-L47,"--")</f>
        <v>4</v>
      </c>
      <c r="F47" s="28" t="s">
        <v>436</v>
      </c>
      <c r="G47" s="26" t="s">
        <v>30</v>
      </c>
      <c r="H47" s="26" t="s">
        <v>19</v>
      </c>
      <c r="I47" s="52" t="s">
        <v>54</v>
      </c>
      <c r="J47" s="52" t="s">
        <v>54</v>
      </c>
      <c r="K47" s="27">
        <f>IF(R47="G","G",IF(R47&gt;=5,R47+U47*5,IF((R47+U47)&lt;=5,(R47+U47),(5+5*(R47+U47-5)))))</f>
        <v>5</v>
      </c>
      <c r="L47" s="29">
        <f ca="1">IF(G47="","--",IF(I47="",INDIRECT(G47),MIN(INDIRECT(G47),INDIRECT(LEFT(I47,2)),INDIRECT(RIGHT(I47,2))))+IF(J47="",INDIRECT(H47),MIN(INDIRECT(H47),INDIRECT(LEFT(J47,2)),INDIRECT(RIGHT(J47,2))))+Sta+IF(M47="",0,$G$2))</f>
        <v>1</v>
      </c>
      <c r="M47" s="29"/>
      <c r="N47" s="28" t="s">
        <v>93</v>
      </c>
      <c r="O47" s="28" t="s">
        <v>76</v>
      </c>
      <c r="P47" s="28" t="s">
        <v>431</v>
      </c>
      <c r="Q47" s="34"/>
      <c r="R47" s="28">
        <v>1</v>
      </c>
      <c r="S47" s="29">
        <v>0</v>
      </c>
      <c r="T47" s="29">
        <v>0</v>
      </c>
      <c r="U47" s="29">
        <f>S47+T47+VLOOKUP(N47,Ranges,2,FALSE)+VLOOKUP(O47,Durations,2,FALSE)+VLOOKUP(P47,Targets,2,FALSE)</f>
        <v>4</v>
      </c>
      <c r="V47" s="31"/>
    </row>
    <row r="48" spans="1:22" s="30" customFormat="1" ht="12.75">
      <c r="A48" s="24">
        <f t="shared" si="0"/>
      </c>
      <c r="B48" s="24" t="s">
        <v>52</v>
      </c>
      <c r="C48" s="29">
        <f t="shared" si="5"/>
        <v>1.5</v>
      </c>
      <c r="D48" s="29">
        <f t="shared" si="1"/>
        <v>3.5</v>
      </c>
      <c r="E48" s="29">
        <f t="shared" si="6"/>
        <v>4</v>
      </c>
      <c r="F48" s="28" t="s">
        <v>96</v>
      </c>
      <c r="G48" s="26" t="s">
        <v>30</v>
      </c>
      <c r="H48" s="26" t="s">
        <v>19</v>
      </c>
      <c r="I48" s="52" t="s">
        <v>54</v>
      </c>
      <c r="J48" s="52" t="s">
        <v>54</v>
      </c>
      <c r="K48" s="27">
        <f t="shared" si="7"/>
        <v>5</v>
      </c>
      <c r="L48" s="29">
        <f ca="1" t="shared" si="3"/>
        <v>1</v>
      </c>
      <c r="M48" s="29"/>
      <c r="N48" s="28" t="s">
        <v>93</v>
      </c>
      <c r="O48" s="28" t="s">
        <v>66</v>
      </c>
      <c r="P48" s="28" t="s">
        <v>429</v>
      </c>
      <c r="Q48" s="34"/>
      <c r="R48" s="28">
        <v>4</v>
      </c>
      <c r="S48" s="29">
        <v>0</v>
      </c>
      <c r="T48" s="29">
        <v>0</v>
      </c>
      <c r="U48" s="29">
        <f t="shared" si="4"/>
        <v>1</v>
      </c>
      <c r="V48" s="31"/>
    </row>
    <row r="49" spans="1:22" s="30" customFormat="1" ht="12.75">
      <c r="A49" s="24">
        <f t="shared" si="0"/>
      </c>
      <c r="B49" s="24" t="s">
        <v>52</v>
      </c>
      <c r="C49" s="29">
        <f t="shared" si="5"/>
        <v>1.5</v>
      </c>
      <c r="D49" s="29">
        <f t="shared" si="1"/>
        <v>3.5</v>
      </c>
      <c r="E49" s="29">
        <f t="shared" si="6"/>
        <v>4</v>
      </c>
      <c r="F49" s="28" t="s">
        <v>97</v>
      </c>
      <c r="G49" s="26" t="s">
        <v>30</v>
      </c>
      <c r="H49" s="26" t="s">
        <v>19</v>
      </c>
      <c r="I49" s="52" t="s">
        <v>54</v>
      </c>
      <c r="J49" s="52" t="s">
        <v>54</v>
      </c>
      <c r="K49" s="27">
        <f t="shared" si="7"/>
        <v>5</v>
      </c>
      <c r="L49" s="29">
        <f ca="1" t="shared" si="3"/>
        <v>1</v>
      </c>
      <c r="M49" s="29"/>
      <c r="N49" s="28" t="s">
        <v>59</v>
      </c>
      <c r="O49" s="28" t="s">
        <v>66</v>
      </c>
      <c r="P49" s="28" t="s">
        <v>55</v>
      </c>
      <c r="Q49" s="34"/>
      <c r="R49" s="28">
        <v>3</v>
      </c>
      <c r="S49" s="29">
        <v>0</v>
      </c>
      <c r="T49" s="29">
        <v>0</v>
      </c>
      <c r="U49" s="29">
        <f t="shared" si="4"/>
        <v>2</v>
      </c>
      <c r="V49" s="31"/>
    </row>
    <row r="50" spans="1:22" s="30" customFormat="1" ht="12.75">
      <c r="A50" s="24">
        <f t="shared" si="0"/>
      </c>
      <c r="B50" s="24" t="s">
        <v>52</v>
      </c>
      <c r="C50" s="29">
        <f t="shared" si="5"/>
        <v>1.5</v>
      </c>
      <c r="D50" s="29">
        <f t="shared" si="1"/>
        <v>13.5</v>
      </c>
      <c r="E50" s="29">
        <f t="shared" si="6"/>
        <v>14</v>
      </c>
      <c r="F50" s="28" t="s">
        <v>98</v>
      </c>
      <c r="G50" s="26" t="s">
        <v>30</v>
      </c>
      <c r="H50" s="26" t="s">
        <v>19</v>
      </c>
      <c r="I50" s="52" t="s">
        <v>54</v>
      </c>
      <c r="J50" s="52" t="s">
        <v>54</v>
      </c>
      <c r="K50" s="27">
        <f t="shared" si="7"/>
        <v>15</v>
      </c>
      <c r="L50" s="29">
        <f ca="1" t="shared" si="3"/>
        <v>1</v>
      </c>
      <c r="M50" s="29"/>
      <c r="N50" s="28" t="s">
        <v>65</v>
      </c>
      <c r="O50" s="28" t="s">
        <v>66</v>
      </c>
      <c r="P50" s="28" t="s">
        <v>55</v>
      </c>
      <c r="Q50" s="34"/>
      <c r="R50" s="28">
        <v>2</v>
      </c>
      <c r="S50" s="29">
        <v>0</v>
      </c>
      <c r="T50" s="29">
        <v>0</v>
      </c>
      <c r="U50" s="29">
        <f t="shared" si="4"/>
        <v>5</v>
      </c>
      <c r="V50" s="31"/>
    </row>
    <row r="51" spans="1:22" s="30" customFormat="1" ht="12.75">
      <c r="A51" s="24">
        <f t="shared" si="0"/>
      </c>
      <c r="B51" s="24" t="s">
        <v>52</v>
      </c>
      <c r="C51" s="29">
        <f t="shared" si="5"/>
        <v>1.5</v>
      </c>
      <c r="D51" s="29">
        <f t="shared" si="1"/>
        <v>23.5</v>
      </c>
      <c r="E51" s="29">
        <f t="shared" si="6"/>
        <v>24</v>
      </c>
      <c r="F51" s="28" t="s">
        <v>99</v>
      </c>
      <c r="G51" s="26" t="s">
        <v>30</v>
      </c>
      <c r="H51" s="26" t="s">
        <v>19</v>
      </c>
      <c r="I51" s="52" t="s">
        <v>54</v>
      </c>
      <c r="J51" s="52" t="s">
        <v>54</v>
      </c>
      <c r="K51" s="27">
        <f t="shared" si="7"/>
        <v>25</v>
      </c>
      <c r="L51" s="29">
        <f ca="1" t="shared" si="3"/>
        <v>1</v>
      </c>
      <c r="M51" s="29"/>
      <c r="N51" s="28" t="s">
        <v>59</v>
      </c>
      <c r="O51" s="28" t="s">
        <v>66</v>
      </c>
      <c r="P51" s="28" t="s">
        <v>55</v>
      </c>
      <c r="Q51" s="34"/>
      <c r="R51" s="28">
        <v>15</v>
      </c>
      <c r="S51" s="29">
        <v>0</v>
      </c>
      <c r="T51" s="29">
        <v>0</v>
      </c>
      <c r="U51" s="29">
        <f t="shared" si="4"/>
        <v>2</v>
      </c>
      <c r="V51" s="31"/>
    </row>
    <row r="52" spans="1:22" s="30" customFormat="1" ht="12.75">
      <c r="A52" s="24">
        <f t="shared" si="0"/>
      </c>
      <c r="B52" s="24" t="s">
        <v>52</v>
      </c>
      <c r="C52" s="29">
        <f t="shared" si="5"/>
        <v>1.5</v>
      </c>
      <c r="D52" s="29">
        <f t="shared" si="1"/>
        <v>28.5</v>
      </c>
      <c r="E52" s="29">
        <f t="shared" si="6"/>
        <v>29</v>
      </c>
      <c r="F52" s="28" t="s">
        <v>100</v>
      </c>
      <c r="G52" s="26" t="s">
        <v>30</v>
      </c>
      <c r="H52" s="26" t="s">
        <v>19</v>
      </c>
      <c r="I52" s="52" t="s">
        <v>54</v>
      </c>
      <c r="J52" s="52" t="s">
        <v>24</v>
      </c>
      <c r="K52" s="27">
        <f t="shared" si="7"/>
        <v>30</v>
      </c>
      <c r="L52" s="29">
        <f ca="1" t="shared" si="3"/>
        <v>1</v>
      </c>
      <c r="M52" s="29"/>
      <c r="N52" s="28" t="s">
        <v>59</v>
      </c>
      <c r="O52" s="28" t="s">
        <v>101</v>
      </c>
      <c r="P52" s="28" t="s">
        <v>55</v>
      </c>
      <c r="Q52" s="34" t="s">
        <v>62</v>
      </c>
      <c r="R52" s="28">
        <v>5</v>
      </c>
      <c r="S52" s="29">
        <v>0</v>
      </c>
      <c r="T52" s="29">
        <v>0</v>
      </c>
      <c r="U52" s="29">
        <f t="shared" si="4"/>
        <v>5</v>
      </c>
      <c r="V52" s="31"/>
    </row>
    <row r="53" spans="1:22" s="30" customFormat="1" ht="12.75">
      <c r="A53" s="24">
        <f>IF(OR(B53="Y",B53="M"),K53,"")</f>
      </c>
      <c r="B53" s="24" t="s">
        <v>52</v>
      </c>
      <c r="C53" s="29">
        <f>IF(G53="","--",(L53-Sta+Int)/2)</f>
        <v>1.5</v>
      </c>
      <c r="D53" s="29">
        <f>IF(AND(K53&lt;&gt;"",K53&lt;&gt;"G"),K53-C53,"--")</f>
        <v>13.5</v>
      </c>
      <c r="E53" s="29">
        <f>IF(AND(K53&lt;&gt;"",K53&lt;&gt;"G"),K53-L53,"--")</f>
        <v>14</v>
      </c>
      <c r="F53" s="28" t="s">
        <v>104</v>
      </c>
      <c r="G53" s="26" t="s">
        <v>32</v>
      </c>
      <c r="H53" s="26" t="s">
        <v>19</v>
      </c>
      <c r="I53" s="52" t="s">
        <v>54</v>
      </c>
      <c r="J53" s="52" t="s">
        <v>54</v>
      </c>
      <c r="K53" s="27">
        <f>IF(R53="G","G",IF(R53&gt;=5,R53+U53*5,IF((R53+U53)&lt;=5,(R53+U53),(5+5*(R53+U53-5)))))</f>
        <v>15</v>
      </c>
      <c r="L53" s="29">
        <f ca="1">IF(G53="","--",IF(I53="",INDIRECT(G53),MIN(INDIRECT(G53),INDIRECT(LEFT(I53,2)),INDIRECT(RIGHT(I53,2))))+IF(J53="",INDIRECT(H53),MIN(INDIRECT(H53),INDIRECT(LEFT(J53,2)),INDIRECT(RIGHT(J53,2))))+Sta+IF(M53="",0,$G$2))</f>
        <v>1</v>
      </c>
      <c r="M53" s="29"/>
      <c r="N53" s="28" t="s">
        <v>59</v>
      </c>
      <c r="O53" s="28" t="s">
        <v>94</v>
      </c>
      <c r="P53" s="28" t="s">
        <v>105</v>
      </c>
      <c r="Q53" s="34"/>
      <c r="R53" s="28">
        <v>2</v>
      </c>
      <c r="S53" s="29">
        <v>0</v>
      </c>
      <c r="T53" s="29">
        <v>0</v>
      </c>
      <c r="U53" s="29">
        <f>S53+T53+VLOOKUP(N53,Ranges,2,FALSE)+VLOOKUP(O53,Durations,2,FALSE)+VLOOKUP(P53,Targets,2,FALSE)</f>
        <v>5</v>
      </c>
      <c r="V53" s="31"/>
    </row>
    <row r="54" spans="1:22" s="30" customFormat="1" ht="12.75">
      <c r="A54" s="24">
        <f t="shared" si="0"/>
      </c>
      <c r="B54" s="24" t="s">
        <v>52</v>
      </c>
      <c r="C54" s="29">
        <f t="shared" si="5"/>
        <v>1.5</v>
      </c>
      <c r="D54" s="29">
        <f t="shared" si="1"/>
        <v>18.5</v>
      </c>
      <c r="E54" s="29">
        <f t="shared" si="6"/>
        <v>19</v>
      </c>
      <c r="F54" s="28" t="s">
        <v>102</v>
      </c>
      <c r="G54" s="26" t="s">
        <v>32</v>
      </c>
      <c r="H54" s="26" t="s">
        <v>19</v>
      </c>
      <c r="I54" s="52" t="s">
        <v>54</v>
      </c>
      <c r="J54" s="52" t="s">
        <v>20</v>
      </c>
      <c r="K54" s="27">
        <f t="shared" si="7"/>
        <v>20</v>
      </c>
      <c r="L54" s="29">
        <f ca="1" t="shared" si="3"/>
        <v>1</v>
      </c>
      <c r="M54" s="29"/>
      <c r="N54" s="28" t="s">
        <v>59</v>
      </c>
      <c r="O54" s="28" t="s">
        <v>94</v>
      </c>
      <c r="P54" s="28" t="s">
        <v>422</v>
      </c>
      <c r="Q54" s="34"/>
      <c r="R54" s="28">
        <v>4</v>
      </c>
      <c r="S54" s="29">
        <v>0</v>
      </c>
      <c r="T54" s="29">
        <v>0</v>
      </c>
      <c r="U54" s="29">
        <f t="shared" si="4"/>
        <v>4</v>
      </c>
      <c r="V54" s="31"/>
    </row>
    <row r="55" spans="1:22" s="30" customFormat="1" ht="12.75">
      <c r="A55" s="24">
        <f>IF(OR(B55="Y",B55="M"),K55,"")</f>
      </c>
      <c r="B55" s="24" t="s">
        <v>52</v>
      </c>
      <c r="C55" s="29">
        <f>IF(G55="","--",(L55-Sta+Int)/2)</f>
        <v>1.5</v>
      </c>
      <c r="D55" s="29">
        <f>IF(AND(K55&lt;&gt;"",K55&lt;&gt;"G"),K55-C55,"--")</f>
        <v>43.5</v>
      </c>
      <c r="E55" s="29">
        <f>IF(AND(K55&lt;&gt;"",K55&lt;&gt;"G"),K55-L55,"--")</f>
        <v>44</v>
      </c>
      <c r="F55" s="28" t="s">
        <v>108</v>
      </c>
      <c r="G55" s="26" t="s">
        <v>32</v>
      </c>
      <c r="H55" s="26" t="s">
        <v>19</v>
      </c>
      <c r="I55" s="52" t="s">
        <v>54</v>
      </c>
      <c r="J55" s="52" t="s">
        <v>54</v>
      </c>
      <c r="K55" s="27">
        <f>IF(R55="G","G",IF(R55&gt;=5,R55+U55*5,IF((R55+U55)&lt;=5,(R55+U55),(5+5*(R55+U55-5)))))</f>
        <v>45</v>
      </c>
      <c r="L55" s="29">
        <f ca="1">IF(G55="","--",IF(I55="",INDIRECT(G55),MIN(INDIRECT(G55),INDIRECT(LEFT(I55,2)),INDIRECT(RIGHT(I55,2))))+IF(J55="",INDIRECT(H55),MIN(INDIRECT(H55),INDIRECT(LEFT(J55,2)),INDIRECT(RIGHT(J55,2))))+Sta+IF(M55="",0,$G$2))</f>
        <v>1</v>
      </c>
      <c r="M55" s="29"/>
      <c r="N55" s="28" t="s">
        <v>59</v>
      </c>
      <c r="O55" s="28" t="s">
        <v>101</v>
      </c>
      <c r="P55" s="28" t="s">
        <v>85</v>
      </c>
      <c r="Q55" s="34" t="s">
        <v>62</v>
      </c>
      <c r="R55" s="28">
        <v>4</v>
      </c>
      <c r="S55" s="29">
        <v>2</v>
      </c>
      <c r="T55" s="29">
        <v>0</v>
      </c>
      <c r="U55" s="29">
        <f>S55+T55+VLOOKUP(N55,Ranges,2,FALSE)+VLOOKUP(O55,Durations,2,FALSE)+VLOOKUP(P55,Targets,2,FALSE)</f>
        <v>9</v>
      </c>
      <c r="V55" s="31"/>
    </row>
    <row r="56" spans="1:22" s="30" customFormat="1" ht="12.75">
      <c r="A56" s="24">
        <f>IF(OR(B56="Y",B56="M"),K56,"")</f>
      </c>
      <c r="B56" s="24" t="s">
        <v>52</v>
      </c>
      <c r="C56" s="29">
        <f>IF(G56="","--",(L56-Sta+Int)/2)</f>
        <v>1.5</v>
      </c>
      <c r="D56" s="29">
        <f>IF(AND(K56&lt;&gt;"",K56&lt;&gt;"G"),K56-C56,"--")</f>
        <v>3.5</v>
      </c>
      <c r="E56" s="29">
        <f>IF(AND(K56&lt;&gt;"",K56&lt;&gt;"G"),K56-L56,"--")</f>
        <v>4</v>
      </c>
      <c r="F56" s="28" t="s">
        <v>437</v>
      </c>
      <c r="G56" s="26" t="s">
        <v>33</v>
      </c>
      <c r="H56" s="26" t="s">
        <v>19</v>
      </c>
      <c r="I56" s="52" t="s">
        <v>54</v>
      </c>
      <c r="J56" s="52" t="s">
        <v>54</v>
      </c>
      <c r="K56" s="27">
        <f>IF(R56="G","G",IF(R56&gt;=5,R56+U56*5,IF((R56+U56)&lt;=5,(R56+U56),(5+5*(R56+U56-5)))))</f>
        <v>5</v>
      </c>
      <c r="L56" s="29">
        <f ca="1">IF(G56="","--",IF(I56="",INDIRECT(G56),MIN(INDIRECT(G56),INDIRECT(LEFT(I56,2)),INDIRECT(RIGHT(I56,2))))+IF(J56="",INDIRECT(H56),MIN(INDIRECT(H56),INDIRECT(LEFT(J56,2)),INDIRECT(RIGHT(J56,2))))+Sta+IF(M56="",0,$G$2))</f>
        <v>1</v>
      </c>
      <c r="M56" s="29"/>
      <c r="N56" s="28" t="s">
        <v>59</v>
      </c>
      <c r="O56" s="28" t="s">
        <v>76</v>
      </c>
      <c r="P56" s="28" t="s">
        <v>55</v>
      </c>
      <c r="Q56" s="34"/>
      <c r="R56" s="28">
        <v>4</v>
      </c>
      <c r="S56" s="29">
        <v>0</v>
      </c>
      <c r="T56" s="29">
        <v>0</v>
      </c>
      <c r="U56" s="29">
        <f>S56+T56+VLOOKUP(N56,Ranges,2,FALSE)+VLOOKUP(O56,Durations,2,FALSE)+VLOOKUP(P56,Targets,2,FALSE)</f>
        <v>1</v>
      </c>
      <c r="V56" s="31"/>
    </row>
    <row r="57" spans="1:22" s="30" customFormat="1" ht="12.75">
      <c r="A57" s="24">
        <f t="shared" si="0"/>
      </c>
      <c r="B57" s="24" t="s">
        <v>52</v>
      </c>
      <c r="C57" s="29">
        <f t="shared" si="5"/>
        <v>1.5</v>
      </c>
      <c r="D57" s="29">
        <f t="shared" si="1"/>
        <v>18.5</v>
      </c>
      <c r="E57" s="29">
        <f t="shared" si="6"/>
        <v>19</v>
      </c>
      <c r="F57" s="28" t="s">
        <v>109</v>
      </c>
      <c r="G57" s="26" t="s">
        <v>33</v>
      </c>
      <c r="H57" s="26" t="s">
        <v>19</v>
      </c>
      <c r="I57" s="52" t="s">
        <v>54</v>
      </c>
      <c r="J57" s="52" t="s">
        <v>54</v>
      </c>
      <c r="K57" s="27">
        <f t="shared" si="7"/>
        <v>20</v>
      </c>
      <c r="L57" s="29">
        <f ca="1" t="shared" si="3"/>
        <v>1</v>
      </c>
      <c r="M57" s="29"/>
      <c r="N57" s="28" t="s">
        <v>426</v>
      </c>
      <c r="O57" s="28" t="s">
        <v>76</v>
      </c>
      <c r="P57" s="28" t="s">
        <v>422</v>
      </c>
      <c r="Q57" s="34"/>
      <c r="R57" s="28">
        <v>5</v>
      </c>
      <c r="S57" s="29">
        <v>0</v>
      </c>
      <c r="T57" s="29">
        <v>0</v>
      </c>
      <c r="U57" s="29">
        <f t="shared" si="4"/>
        <v>3</v>
      </c>
      <c r="V57" s="94" t="s">
        <v>485</v>
      </c>
    </row>
    <row r="58" spans="1:22" s="30" customFormat="1" ht="12.75">
      <c r="A58" s="24">
        <f>IF(OR(B58="Y",B58="M"),K58,"")</f>
      </c>
      <c r="B58" s="24" t="s">
        <v>52</v>
      </c>
      <c r="C58" s="29">
        <f>IF(G58="","--",(L58-Sta+Int)/2)</f>
        <v>1.5</v>
      </c>
      <c r="D58" s="29">
        <f>IF(AND(K58&lt;&gt;"",K58&lt;&gt;"G"),K58-C58,"--")</f>
        <v>23.5</v>
      </c>
      <c r="E58" s="29">
        <f>IF(AND(K58&lt;&gt;"",K58&lt;&gt;"G"),K58-L58,"--")</f>
        <v>24</v>
      </c>
      <c r="F58" s="28" t="s">
        <v>438</v>
      </c>
      <c r="G58" s="26" t="s">
        <v>33</v>
      </c>
      <c r="H58" s="26" t="s">
        <v>19</v>
      </c>
      <c r="I58" s="52" t="s">
        <v>54</v>
      </c>
      <c r="J58" s="52" t="s">
        <v>54</v>
      </c>
      <c r="K58" s="27">
        <f>IF(R58="G","G",IF(R58&gt;=5,R58+U58*5,IF((R58+U58)&lt;=5,(R58+U58),(5+5*(R58+U58-5)))))</f>
        <v>25</v>
      </c>
      <c r="L58" s="29">
        <f ca="1">IF(G58="","--",IF(I58="",INDIRECT(G58),MIN(INDIRECT(G58),INDIRECT(LEFT(I58,2)),INDIRECT(RIGHT(I58,2))))+IF(J58="",INDIRECT(H58),MIN(INDIRECT(H58),INDIRECT(LEFT(J58,2)),INDIRECT(RIGHT(J58,2))))+Sta+IF(M58="",0,$G$2))</f>
        <v>1</v>
      </c>
      <c r="M58" s="29"/>
      <c r="N58" s="28" t="s">
        <v>59</v>
      </c>
      <c r="O58" s="28" t="s">
        <v>76</v>
      </c>
      <c r="P58" s="28" t="s">
        <v>55</v>
      </c>
      <c r="Q58" s="34"/>
      <c r="R58" s="28">
        <v>20</v>
      </c>
      <c r="S58" s="29">
        <v>0</v>
      </c>
      <c r="T58" s="29">
        <v>0</v>
      </c>
      <c r="U58" s="29">
        <f>S58+T58+VLOOKUP(N58,Ranges,2,FALSE)+VLOOKUP(O58,Durations,2,FALSE)+VLOOKUP(P58,Targets,2,FALSE)</f>
        <v>1</v>
      </c>
      <c r="V58" s="31"/>
    </row>
    <row r="59" spans="1:22" s="30" customFormat="1" ht="12.75">
      <c r="A59" s="24">
        <f t="shared" si="0"/>
      </c>
      <c r="B59" s="24" t="s">
        <v>52</v>
      </c>
      <c r="C59" s="29">
        <f t="shared" si="5"/>
        <v>1.5</v>
      </c>
      <c r="D59" s="29">
        <f t="shared" si="1"/>
        <v>23.5</v>
      </c>
      <c r="E59" s="29">
        <f t="shared" si="6"/>
        <v>24</v>
      </c>
      <c r="F59" s="28" t="s">
        <v>110</v>
      </c>
      <c r="G59" s="26" t="s">
        <v>33</v>
      </c>
      <c r="H59" s="26" t="s">
        <v>19</v>
      </c>
      <c r="I59" s="52" t="s">
        <v>54</v>
      </c>
      <c r="J59" s="52" t="s">
        <v>54</v>
      </c>
      <c r="K59" s="27">
        <f t="shared" si="7"/>
        <v>25</v>
      </c>
      <c r="L59" s="29">
        <f ca="1" t="shared" si="3"/>
        <v>1</v>
      </c>
      <c r="M59" s="29"/>
      <c r="N59" s="28" t="s">
        <v>426</v>
      </c>
      <c r="O59" s="28" t="s">
        <v>76</v>
      </c>
      <c r="P59" s="28" t="s">
        <v>422</v>
      </c>
      <c r="Q59" s="34"/>
      <c r="R59" s="28">
        <v>10</v>
      </c>
      <c r="S59" s="29">
        <v>0</v>
      </c>
      <c r="T59" s="29">
        <v>0</v>
      </c>
      <c r="U59" s="29">
        <f t="shared" si="4"/>
        <v>3</v>
      </c>
      <c r="V59" s="94" t="s">
        <v>486</v>
      </c>
    </row>
    <row r="60" spans="1:22" s="30" customFormat="1" ht="12.75">
      <c r="A60" s="24">
        <f t="shared" si="0"/>
      </c>
      <c r="B60" s="24" t="s">
        <v>52</v>
      </c>
      <c r="C60" s="29">
        <f t="shared" si="5"/>
        <v>1.5</v>
      </c>
      <c r="D60" s="29">
        <f t="shared" si="1"/>
        <v>48.5</v>
      </c>
      <c r="E60" s="29">
        <f t="shared" si="6"/>
        <v>49</v>
      </c>
      <c r="F60" s="28" t="s">
        <v>111</v>
      </c>
      <c r="G60" s="26" t="s">
        <v>33</v>
      </c>
      <c r="H60" s="26" t="s">
        <v>19</v>
      </c>
      <c r="I60" s="52" t="s">
        <v>54</v>
      </c>
      <c r="J60" s="52" t="s">
        <v>20</v>
      </c>
      <c r="K60" s="27">
        <f t="shared" si="7"/>
        <v>50</v>
      </c>
      <c r="L60" s="29">
        <f ca="1" t="shared" si="3"/>
        <v>1</v>
      </c>
      <c r="M60" s="29"/>
      <c r="N60" s="28" t="s">
        <v>59</v>
      </c>
      <c r="O60" s="28" t="s">
        <v>101</v>
      </c>
      <c r="P60" s="28" t="s">
        <v>61</v>
      </c>
      <c r="Q60" s="34" t="s">
        <v>62</v>
      </c>
      <c r="R60" s="28">
        <v>5</v>
      </c>
      <c r="S60" s="29">
        <v>0</v>
      </c>
      <c r="T60" s="29">
        <v>0</v>
      </c>
      <c r="U60" s="29">
        <f t="shared" si="4"/>
        <v>9</v>
      </c>
      <c r="V60" s="31"/>
    </row>
    <row r="61" spans="1:22" s="30" customFormat="1" ht="12.75">
      <c r="A61" s="24">
        <f>IF(OR(B61="Y",B61="M"),K61,"")</f>
      </c>
      <c r="B61" s="24" t="s">
        <v>52</v>
      </c>
      <c r="C61" s="29">
        <f>IF(G61="","--",(L61-Sta+Int)/2)</f>
        <v>1.5</v>
      </c>
      <c r="D61" s="29" t="str">
        <f>IF(AND(K61&lt;&gt;"",K61&lt;&gt;"G"),K61-C61,"--")</f>
        <v>--</v>
      </c>
      <c r="E61" s="29" t="str">
        <f>IF(AND(K61&lt;&gt;"",K61&lt;&gt;"G"),K61-L61,"--")</f>
        <v>--</v>
      </c>
      <c r="F61" s="50" t="s">
        <v>122</v>
      </c>
      <c r="G61" s="26" t="s">
        <v>35</v>
      </c>
      <c r="H61" s="26" t="s">
        <v>19</v>
      </c>
      <c r="I61" s="52" t="s">
        <v>54</v>
      </c>
      <c r="J61" s="52" t="s">
        <v>54</v>
      </c>
      <c r="K61" s="34" t="str">
        <f>IF(R61="G","G",IF(R61&gt;=5,R61+U61*5,IF((R61+U61)&lt;=5,(R61+U61),(5+5*(R61+U61-5)))))</f>
        <v>G</v>
      </c>
      <c r="L61" s="29">
        <f ca="1">IF(G61="","--",IF(I61="",INDIRECT(G61),MIN(INDIRECT(G61),INDIRECT(LEFT(I61,2)),INDIRECT(RIGHT(I61,2))))+IF(J61="",INDIRECT(H61),MIN(INDIRECT(H61),INDIRECT(LEFT(J61,2)),INDIRECT(RIGHT(J61,2))))+Sta+IF(M61="",0,$G$2))</f>
        <v>1</v>
      </c>
      <c r="M61" s="29"/>
      <c r="N61" s="28" t="s">
        <v>59</v>
      </c>
      <c r="O61" s="28" t="s">
        <v>89</v>
      </c>
      <c r="P61" s="28" t="s">
        <v>160</v>
      </c>
      <c r="Q61" s="34"/>
      <c r="R61" s="28" t="s">
        <v>63</v>
      </c>
      <c r="S61" s="29">
        <v>0</v>
      </c>
      <c r="T61" s="29">
        <v>0</v>
      </c>
      <c r="U61" s="29">
        <f>S61+T61+VLOOKUP(N61,Ranges,2,FALSE)+VLOOKUP(O61,Durations,2,FALSE)+VLOOKUP(P61,Targets,2,FALSE)</f>
        <v>3</v>
      </c>
      <c r="V61" s="31" t="s">
        <v>439</v>
      </c>
    </row>
    <row r="62" spans="1:22" s="30" customFormat="1" ht="12.75">
      <c r="A62" s="24">
        <f t="shared" si="0"/>
      </c>
      <c r="B62" s="24" t="s">
        <v>52</v>
      </c>
      <c r="C62" s="29">
        <f t="shared" si="5"/>
        <v>1.5</v>
      </c>
      <c r="D62" s="29">
        <f t="shared" si="1"/>
        <v>3.5</v>
      </c>
      <c r="E62" s="29">
        <f t="shared" si="6"/>
        <v>4</v>
      </c>
      <c r="F62" s="28" t="s">
        <v>112</v>
      </c>
      <c r="G62" s="26" t="s">
        <v>35</v>
      </c>
      <c r="H62" s="26" t="s">
        <v>19</v>
      </c>
      <c r="I62" s="52" t="s">
        <v>54</v>
      </c>
      <c r="J62" s="52" t="s">
        <v>54</v>
      </c>
      <c r="K62" s="27">
        <f t="shared" si="7"/>
        <v>5</v>
      </c>
      <c r="L62" s="29">
        <f ca="1" t="shared" si="3"/>
        <v>1</v>
      </c>
      <c r="M62" s="29"/>
      <c r="N62" s="28" t="s">
        <v>59</v>
      </c>
      <c r="O62" s="28" t="s">
        <v>94</v>
      </c>
      <c r="P62" s="28" t="s">
        <v>55</v>
      </c>
      <c r="Q62" s="34"/>
      <c r="R62" s="28">
        <v>1</v>
      </c>
      <c r="S62" s="29">
        <v>0</v>
      </c>
      <c r="T62" s="29">
        <v>1</v>
      </c>
      <c r="U62" s="29">
        <f t="shared" si="4"/>
        <v>4</v>
      </c>
      <c r="V62" s="31"/>
    </row>
    <row r="63" spans="1:22" s="30" customFormat="1" ht="12.75">
      <c r="A63" s="24">
        <f t="shared" si="0"/>
      </c>
      <c r="B63" s="24" t="s">
        <v>52</v>
      </c>
      <c r="C63" s="29">
        <f t="shared" si="5"/>
        <v>1.5</v>
      </c>
      <c r="D63" s="29">
        <f t="shared" si="1"/>
        <v>8.5</v>
      </c>
      <c r="E63" s="29">
        <f t="shared" si="6"/>
        <v>9</v>
      </c>
      <c r="F63" s="28" t="s">
        <v>113</v>
      </c>
      <c r="G63" s="26" t="s">
        <v>35</v>
      </c>
      <c r="H63" s="26" t="s">
        <v>19</v>
      </c>
      <c r="I63" s="52" t="s">
        <v>54</v>
      </c>
      <c r="J63" s="52" t="s">
        <v>54</v>
      </c>
      <c r="K63" s="27">
        <f t="shared" si="7"/>
        <v>10</v>
      </c>
      <c r="L63" s="29">
        <f ca="1" t="shared" si="3"/>
        <v>1</v>
      </c>
      <c r="M63" s="29"/>
      <c r="N63" s="28" t="s">
        <v>93</v>
      </c>
      <c r="O63" s="28" t="s">
        <v>66</v>
      </c>
      <c r="P63" s="28" t="s">
        <v>55</v>
      </c>
      <c r="Q63" s="34"/>
      <c r="R63" s="28">
        <v>5</v>
      </c>
      <c r="S63" s="29">
        <v>0</v>
      </c>
      <c r="T63" s="29">
        <v>0</v>
      </c>
      <c r="U63" s="29">
        <f t="shared" si="4"/>
        <v>1</v>
      </c>
      <c r="V63" s="31" t="s">
        <v>439</v>
      </c>
    </row>
    <row r="64" spans="1:22" s="30" customFormat="1" ht="12.75">
      <c r="A64" s="24">
        <f>IF(OR(B64="Y",B64="M"),K64,"")</f>
      </c>
      <c r="B64" s="24" t="s">
        <v>52</v>
      </c>
      <c r="C64" s="29">
        <f>IF(G64="","--",(L64-Sta+Int)/2)</f>
        <v>1.5</v>
      </c>
      <c r="D64" s="29">
        <f>IF(AND(K64&lt;&gt;"",K64&lt;&gt;"G"),K64-C64,"--")</f>
        <v>13.5</v>
      </c>
      <c r="E64" s="29">
        <f>IF(AND(K64&lt;&gt;"",K64&lt;&gt;"G"),K64-L64,"--")</f>
        <v>14</v>
      </c>
      <c r="F64" s="28" t="s">
        <v>103</v>
      </c>
      <c r="G64" s="26" t="s">
        <v>35</v>
      </c>
      <c r="H64" s="26" t="s">
        <v>19</v>
      </c>
      <c r="I64" s="52" t="s">
        <v>54</v>
      </c>
      <c r="J64" s="52" t="s">
        <v>54</v>
      </c>
      <c r="K64" s="27">
        <f>IF(R64="G","G",IF(R64&gt;=5,R64+U64*5,IF((R64+U64)&lt;=5,(R64+U64),(5+5*(R64+U64-5)))))</f>
        <v>15</v>
      </c>
      <c r="L64" s="29">
        <f ca="1">IF(G64="","--",IF(I64="",INDIRECT(G64),MIN(INDIRECT(G64),INDIRECT(LEFT(I64,2)),INDIRECT(RIGHT(I64,2))))+IF(J64="",INDIRECT(H64),MIN(INDIRECT(H64),INDIRECT(LEFT(J64,2)),INDIRECT(RIGHT(J64,2))))+Sta+IF(M64="",0,$G$2))</f>
        <v>1</v>
      </c>
      <c r="M64" s="29"/>
      <c r="N64" s="28" t="s">
        <v>59</v>
      </c>
      <c r="O64" s="28" t="s">
        <v>94</v>
      </c>
      <c r="P64" s="28" t="s">
        <v>422</v>
      </c>
      <c r="Q64" s="34"/>
      <c r="R64" s="28">
        <v>3</v>
      </c>
      <c r="S64" s="29">
        <v>0</v>
      </c>
      <c r="T64" s="29">
        <v>0</v>
      </c>
      <c r="U64" s="29">
        <f>S64+T64+VLOOKUP(N64,Ranges,2,FALSE)+VLOOKUP(O64,Durations,2,FALSE)+VLOOKUP(P64,Targets,2,FALSE)</f>
        <v>4</v>
      </c>
      <c r="V64" s="31"/>
    </row>
    <row r="65" spans="1:22" s="30" customFormat="1" ht="12.75">
      <c r="A65" s="24">
        <f t="shared" si="0"/>
      </c>
      <c r="B65" s="24" t="s">
        <v>52</v>
      </c>
      <c r="C65" s="29">
        <f t="shared" si="5"/>
        <v>1.5</v>
      </c>
      <c r="D65" s="29">
        <f t="shared" si="1"/>
        <v>13.5</v>
      </c>
      <c r="E65" s="29">
        <f t="shared" si="6"/>
        <v>14</v>
      </c>
      <c r="F65" s="28" t="s">
        <v>114</v>
      </c>
      <c r="G65" s="26" t="s">
        <v>35</v>
      </c>
      <c r="H65" s="26" t="s">
        <v>19</v>
      </c>
      <c r="I65" s="52" t="s">
        <v>54</v>
      </c>
      <c r="J65" s="52" t="s">
        <v>54</v>
      </c>
      <c r="K65" s="27">
        <f t="shared" si="7"/>
        <v>15</v>
      </c>
      <c r="L65" s="29">
        <f ca="1" t="shared" si="3"/>
        <v>1</v>
      </c>
      <c r="M65" s="29"/>
      <c r="N65" s="28" t="s">
        <v>426</v>
      </c>
      <c r="O65" s="28" t="s">
        <v>66</v>
      </c>
      <c r="P65" s="28" t="s">
        <v>55</v>
      </c>
      <c r="Q65" s="34"/>
      <c r="R65" s="28">
        <v>4</v>
      </c>
      <c r="S65" s="29">
        <v>0</v>
      </c>
      <c r="T65" s="29">
        <v>0</v>
      </c>
      <c r="U65" s="29">
        <f t="shared" si="4"/>
        <v>3</v>
      </c>
      <c r="V65" s="31"/>
    </row>
    <row r="66" spans="1:22" s="30" customFormat="1" ht="12.75">
      <c r="A66" s="24">
        <f>IF(OR(B66="Y",B66="M"),K66,"")</f>
      </c>
      <c r="B66" s="24" t="s">
        <v>52</v>
      </c>
      <c r="C66" s="29">
        <f>IF(G66="","--",(L66-Sta+Int)/2)</f>
        <v>1.5</v>
      </c>
      <c r="D66" s="29">
        <f>IF(AND(K66&lt;&gt;"",K66&lt;&gt;"G"),K66-C66,"--")</f>
        <v>28.5</v>
      </c>
      <c r="E66" s="29">
        <f>IF(AND(K66&lt;&gt;"",K66&lt;&gt;"G"),K66-L66,"--")</f>
        <v>29</v>
      </c>
      <c r="F66" s="28" t="s">
        <v>107</v>
      </c>
      <c r="G66" s="26" t="s">
        <v>35</v>
      </c>
      <c r="H66" s="26" t="s">
        <v>19</v>
      </c>
      <c r="I66" s="52" t="s">
        <v>54</v>
      </c>
      <c r="J66" s="52" t="s">
        <v>54</v>
      </c>
      <c r="K66" s="27">
        <f>IF(R66="G","G",IF(R66&gt;=5,R66+U66*5,IF((R66+U66)&lt;=5,(R66+U66),(5+5*(R66+U66-5)))))</f>
        <v>30</v>
      </c>
      <c r="L66" s="29">
        <f ca="1">IF(G66="","--",IF(I66="",INDIRECT(G66),MIN(INDIRECT(G66),INDIRECT(LEFT(I66,2)),INDIRECT(RIGHT(I66,2))))+IF(J66="",INDIRECT(H66),MIN(INDIRECT(H66),INDIRECT(LEFT(J66,2)),INDIRECT(RIGHT(J66,2))))+Sta+IF(M66="",0,$G$2))</f>
        <v>1</v>
      </c>
      <c r="M66" s="29"/>
      <c r="N66" s="28" t="s">
        <v>426</v>
      </c>
      <c r="O66" s="28" t="s">
        <v>94</v>
      </c>
      <c r="P66" s="28" t="s">
        <v>422</v>
      </c>
      <c r="Q66" s="34"/>
      <c r="R66" s="28">
        <v>3</v>
      </c>
      <c r="S66" s="29">
        <v>1</v>
      </c>
      <c r="T66" s="29">
        <v>1</v>
      </c>
      <c r="U66" s="29">
        <f>S66+T66+VLOOKUP(N66,Ranges,2,FALSE)+VLOOKUP(O66,Durations,2,FALSE)+VLOOKUP(P66,Targets,2,FALSE)</f>
        <v>7</v>
      </c>
      <c r="V66" s="31"/>
    </row>
    <row r="67" spans="1:22" s="30" customFormat="1" ht="12.75">
      <c r="A67" s="24">
        <f t="shared" si="0"/>
      </c>
      <c r="B67" s="24" t="s">
        <v>52</v>
      </c>
      <c r="C67" s="29">
        <f t="shared" si="5"/>
        <v>1.5</v>
      </c>
      <c r="D67" s="29">
        <f t="shared" si="1"/>
        <v>28.5</v>
      </c>
      <c r="E67" s="29">
        <f t="shared" si="6"/>
        <v>29</v>
      </c>
      <c r="F67" s="28" t="s">
        <v>115</v>
      </c>
      <c r="G67" s="26" t="s">
        <v>35</v>
      </c>
      <c r="H67" s="26" t="s">
        <v>19</v>
      </c>
      <c r="I67" s="52" t="s">
        <v>54</v>
      </c>
      <c r="J67" s="52" t="s">
        <v>54</v>
      </c>
      <c r="K67" s="27">
        <f t="shared" si="7"/>
        <v>30</v>
      </c>
      <c r="L67" s="29">
        <f ca="1" t="shared" si="3"/>
        <v>1</v>
      </c>
      <c r="M67" s="29"/>
      <c r="N67" s="28" t="s">
        <v>426</v>
      </c>
      <c r="O67" s="28" t="s">
        <v>66</v>
      </c>
      <c r="P67" s="28" t="s">
        <v>422</v>
      </c>
      <c r="Q67" s="34"/>
      <c r="R67" s="28">
        <v>5</v>
      </c>
      <c r="S67" s="29">
        <v>1</v>
      </c>
      <c r="T67" s="29">
        <v>0</v>
      </c>
      <c r="U67" s="29">
        <f t="shared" si="4"/>
        <v>5</v>
      </c>
      <c r="V67" s="31" t="s">
        <v>487</v>
      </c>
    </row>
    <row r="68" spans="1:22" s="30" customFormat="1" ht="12.75">
      <c r="A68" s="24">
        <f t="shared" si="0"/>
      </c>
      <c r="B68" s="24" t="s">
        <v>52</v>
      </c>
      <c r="C68" s="29">
        <f t="shared" si="5"/>
        <v>1.5</v>
      </c>
      <c r="D68" s="29">
        <f t="shared" si="1"/>
        <v>28.5</v>
      </c>
      <c r="E68" s="29">
        <f t="shared" si="6"/>
        <v>29</v>
      </c>
      <c r="F68" s="28" t="s">
        <v>116</v>
      </c>
      <c r="G68" s="26" t="s">
        <v>35</v>
      </c>
      <c r="H68" s="26" t="s">
        <v>19</v>
      </c>
      <c r="I68" s="52" t="s">
        <v>54</v>
      </c>
      <c r="J68" s="52" t="s">
        <v>54</v>
      </c>
      <c r="K68" s="27">
        <f t="shared" si="7"/>
        <v>30</v>
      </c>
      <c r="L68" s="29">
        <f ca="1" t="shared" si="3"/>
        <v>1</v>
      </c>
      <c r="M68" s="29"/>
      <c r="N68" s="28" t="s">
        <v>59</v>
      </c>
      <c r="O68" s="28" t="s">
        <v>66</v>
      </c>
      <c r="P68" s="28" t="s">
        <v>85</v>
      </c>
      <c r="Q68" s="34"/>
      <c r="R68" s="28">
        <v>10</v>
      </c>
      <c r="S68" s="29">
        <v>0</v>
      </c>
      <c r="T68" s="29">
        <v>0</v>
      </c>
      <c r="U68" s="29">
        <f t="shared" si="4"/>
        <v>4</v>
      </c>
      <c r="V68" s="31" t="s">
        <v>488</v>
      </c>
    </row>
    <row r="69" spans="1:22" s="30" customFormat="1" ht="12.75">
      <c r="A69" s="24">
        <f>IF(OR(B69="Y",B69="M"),K69,"")</f>
      </c>
      <c r="B69" s="24" t="s">
        <v>52</v>
      </c>
      <c r="C69" s="29">
        <f>IF(G69="","--",(L69-Sta+Int)/2)</f>
        <v>1.5</v>
      </c>
      <c r="D69" s="29">
        <f>IF(AND(K69&lt;&gt;"",K69&lt;&gt;"G"),K69-C69,"--")</f>
        <v>28.5</v>
      </c>
      <c r="E69" s="29">
        <f>IF(AND(K69&lt;&gt;"",K69&lt;&gt;"G"),K69-L69,"--")</f>
        <v>29</v>
      </c>
      <c r="F69" s="28" t="s">
        <v>120</v>
      </c>
      <c r="G69" s="26" t="s">
        <v>35</v>
      </c>
      <c r="H69" s="26" t="s">
        <v>19</v>
      </c>
      <c r="I69" s="52" t="s">
        <v>54</v>
      </c>
      <c r="J69" s="52" t="s">
        <v>54</v>
      </c>
      <c r="K69" s="27">
        <f>IF(R69="G","G",IF(R69&gt;=5,R69+U69*5,IF((R69+U69)&lt;=5,(R69+U69),(5+5*(R69+U69-5)))))</f>
        <v>30</v>
      </c>
      <c r="L69" s="29">
        <f ca="1">IF(G69="","--",IF(I69="",INDIRECT(G69),MIN(INDIRECT(G69),INDIRECT(LEFT(I69,2)),INDIRECT(RIGHT(I69,2))))+IF(J69="",INDIRECT(H69),MIN(INDIRECT(H69),INDIRECT(LEFT(J69,2)),INDIRECT(RIGHT(J69,2))))+Sta+IF(M69="",0,$G$2))</f>
        <v>1</v>
      </c>
      <c r="M69" s="29"/>
      <c r="N69" s="28" t="s">
        <v>118</v>
      </c>
      <c r="O69" s="28" t="s">
        <v>76</v>
      </c>
      <c r="P69" s="28" t="s">
        <v>55</v>
      </c>
      <c r="Q69" s="34"/>
      <c r="R69" s="28">
        <v>10</v>
      </c>
      <c r="S69" s="29">
        <v>1</v>
      </c>
      <c r="T69" s="29">
        <v>0</v>
      </c>
      <c r="U69" s="29">
        <f>S69+T69+VLOOKUP(N69,Ranges,2,FALSE)+VLOOKUP(O69,Durations,2,FALSE)+VLOOKUP(P69,Targets,2,FALSE)</f>
        <v>4</v>
      </c>
      <c r="V69" s="31"/>
    </row>
    <row r="70" spans="1:22" s="30" customFormat="1" ht="12.75">
      <c r="A70" s="24">
        <f>IF(OR(B70="Y",B70="M"),K70,"")</f>
      </c>
      <c r="B70" s="24" t="s">
        <v>52</v>
      </c>
      <c r="C70" s="29">
        <f>IF(G70="","--",(L70-Sta+Int)/2)</f>
        <v>1.5</v>
      </c>
      <c r="D70" s="29">
        <f>IF(AND(K70&lt;&gt;"",K70&lt;&gt;"G"),K70-C70,"--")</f>
        <v>33.5</v>
      </c>
      <c r="E70" s="29">
        <f>IF(AND(K70&lt;&gt;"",K70&lt;&gt;"G"),K70-L70,"--")</f>
        <v>34</v>
      </c>
      <c r="F70" s="28" t="s">
        <v>106</v>
      </c>
      <c r="G70" s="26" t="s">
        <v>35</v>
      </c>
      <c r="H70" s="26" t="s">
        <v>19</v>
      </c>
      <c r="I70" s="52" t="s">
        <v>54</v>
      </c>
      <c r="J70" s="52" t="s">
        <v>54</v>
      </c>
      <c r="K70" s="27">
        <f>IF(R70="G","G",IF(R70&gt;=5,R70+U70*5,IF((R70+U70)&lt;=5,(R70+U70),(5+5*(R70+U70-5)))))</f>
        <v>35</v>
      </c>
      <c r="L70" s="29">
        <f ca="1">IF(G70="","--",IF(I70="",INDIRECT(G70),MIN(INDIRECT(G70),INDIRECT(LEFT(I70,2)),INDIRECT(RIGHT(I70,2))))+IF(J70="",INDIRECT(H70),MIN(INDIRECT(H70),INDIRECT(LEFT(J70,2)),INDIRECT(RIGHT(J70,2))))+Sta+IF(M70="",0,$G$2))</f>
        <v>1</v>
      </c>
      <c r="M70" s="29"/>
      <c r="N70" s="28" t="s">
        <v>426</v>
      </c>
      <c r="O70" s="28" t="s">
        <v>66</v>
      </c>
      <c r="P70" s="28" t="s">
        <v>422</v>
      </c>
      <c r="Q70" s="34"/>
      <c r="R70" s="28">
        <v>5</v>
      </c>
      <c r="S70" s="29">
        <v>1</v>
      </c>
      <c r="T70" s="29">
        <v>1</v>
      </c>
      <c r="U70" s="29">
        <f>S70+T70+VLOOKUP(N70,Ranges,2,FALSE)+VLOOKUP(O70,Durations,2,FALSE)+VLOOKUP(P70,Targets,2,FALSE)</f>
        <v>6</v>
      </c>
      <c r="V70" s="31" t="s">
        <v>489</v>
      </c>
    </row>
    <row r="71" spans="1:22" s="30" customFormat="1" ht="12.75">
      <c r="A71" s="24">
        <f>IF(OR(B71="Y",B71="M"),K71,"")</f>
      </c>
      <c r="B71" s="24" t="s">
        <v>52</v>
      </c>
      <c r="C71" s="29">
        <f>IF(G71="","--",(L71-Sta+Int)/2)</f>
        <v>1.5</v>
      </c>
      <c r="D71" s="29">
        <f>IF(AND(K71&lt;&gt;"",K71&lt;&gt;"G"),K71-C71,"--")</f>
        <v>33.5</v>
      </c>
      <c r="E71" s="29">
        <f>IF(AND(K71&lt;&gt;"",K71&lt;&gt;"G"),K71-L71,"--")</f>
        <v>34</v>
      </c>
      <c r="F71" s="28" t="s">
        <v>117</v>
      </c>
      <c r="G71" s="26" t="s">
        <v>35</v>
      </c>
      <c r="H71" s="26" t="s">
        <v>19</v>
      </c>
      <c r="I71" s="52" t="s">
        <v>54</v>
      </c>
      <c r="J71" s="52" t="s">
        <v>54</v>
      </c>
      <c r="K71" s="27">
        <f>IF(R71="G","G",IF(R71&gt;=5,R71+U71*5,IF((R71+U71)&lt;=5,(R71+U71),(5+5*(R71+U71-5)))))</f>
        <v>35</v>
      </c>
      <c r="L71" s="29">
        <f ca="1">IF(G71="","--",IF(I71="",INDIRECT(G71),MIN(INDIRECT(G71),INDIRECT(LEFT(I71,2)),INDIRECT(RIGHT(I71,2))))+IF(J71="",INDIRECT(H71),MIN(INDIRECT(H71),INDIRECT(LEFT(J71,2)),INDIRECT(RIGHT(J71,2))))+Sta+IF(M71="",0,$G$2))</f>
        <v>1</v>
      </c>
      <c r="M71" s="29"/>
      <c r="N71" s="28" t="s">
        <v>118</v>
      </c>
      <c r="O71" s="28" t="s">
        <v>66</v>
      </c>
      <c r="P71" s="28" t="s">
        <v>55</v>
      </c>
      <c r="Q71" s="34"/>
      <c r="R71" s="28">
        <v>10</v>
      </c>
      <c r="S71" s="29">
        <v>1</v>
      </c>
      <c r="T71" s="29">
        <v>0</v>
      </c>
      <c r="U71" s="29">
        <f>S71+T71+VLOOKUP(N71,Ranges,2,FALSE)+VLOOKUP(O71,Durations,2,FALSE)+VLOOKUP(P71,Targets,2,FALSE)</f>
        <v>5</v>
      </c>
      <c r="V71" s="31" t="s">
        <v>490</v>
      </c>
    </row>
    <row r="72" spans="1:22" s="30" customFormat="1" ht="12.75">
      <c r="A72" s="24">
        <f>IF(OR(B72="Y",B72="M"),K72,"")</f>
      </c>
      <c r="B72" s="24" t="s">
        <v>52</v>
      </c>
      <c r="C72" s="29">
        <f>IF(G72="","--",(L72-Sta+Int)/2)</f>
        <v>1.5</v>
      </c>
      <c r="D72" s="29">
        <f>IF(AND(K72&lt;&gt;"",K72&lt;&gt;"G"),K72-C72,"--")</f>
        <v>33.5</v>
      </c>
      <c r="E72" s="29">
        <f>IF(AND(K72&lt;&gt;"",K72&lt;&gt;"G"),K72-L72,"--")</f>
        <v>34</v>
      </c>
      <c r="F72" s="28" t="s">
        <v>119</v>
      </c>
      <c r="G72" s="26" t="s">
        <v>35</v>
      </c>
      <c r="H72" s="26" t="s">
        <v>19</v>
      </c>
      <c r="I72" s="52" t="s">
        <v>54</v>
      </c>
      <c r="J72" s="52" t="s">
        <v>54</v>
      </c>
      <c r="K72" s="27">
        <f>IF(R72="G","G",IF(R72&gt;=5,R72+U72*5,IF((R72+U72)&lt;=5,(R72+U72),(5+5*(R72+U72-5)))))</f>
        <v>35</v>
      </c>
      <c r="L72" s="29">
        <f ca="1">IF(G72="","--",IF(I72="",INDIRECT(G72),MIN(INDIRECT(G72),INDIRECT(LEFT(I72,2)),INDIRECT(RIGHT(I72,2))))+IF(J72="",INDIRECT(H72),MIN(INDIRECT(H72),INDIRECT(LEFT(J72,2)),INDIRECT(RIGHT(J72,2))))+Sta+IF(M72="",0,$G$2))</f>
        <v>1</v>
      </c>
      <c r="M72" s="29"/>
      <c r="N72" s="28" t="s">
        <v>426</v>
      </c>
      <c r="O72" s="28" t="s">
        <v>66</v>
      </c>
      <c r="P72" s="28" t="s">
        <v>85</v>
      </c>
      <c r="Q72" s="34"/>
      <c r="R72" s="28">
        <v>10</v>
      </c>
      <c r="S72" s="29">
        <v>0</v>
      </c>
      <c r="T72" s="29">
        <v>0</v>
      </c>
      <c r="U72" s="29">
        <f>S72+T72+VLOOKUP(N72,Ranges,2,FALSE)+VLOOKUP(O72,Durations,2,FALSE)+VLOOKUP(P72,Targets,2,FALSE)</f>
        <v>5</v>
      </c>
      <c r="V72" s="94" t="s">
        <v>491</v>
      </c>
    </row>
    <row r="73" spans="1:22" s="30" customFormat="1" ht="12.75">
      <c r="A73" s="24">
        <f t="shared" si="0"/>
      </c>
      <c r="B73" s="24" t="s">
        <v>52</v>
      </c>
      <c r="C73" s="29">
        <f t="shared" si="5"/>
        <v>1.5</v>
      </c>
      <c r="D73" s="29">
        <f t="shared" si="1"/>
        <v>38.5</v>
      </c>
      <c r="E73" s="29">
        <f t="shared" si="6"/>
        <v>39</v>
      </c>
      <c r="F73" s="28" t="s">
        <v>121</v>
      </c>
      <c r="G73" s="26" t="s">
        <v>35</v>
      </c>
      <c r="H73" s="26" t="s">
        <v>19</v>
      </c>
      <c r="I73" s="52" t="s">
        <v>54</v>
      </c>
      <c r="J73" s="52" t="s">
        <v>54</v>
      </c>
      <c r="K73" s="27">
        <f t="shared" si="7"/>
        <v>40</v>
      </c>
      <c r="L73" s="29">
        <f ca="1" t="shared" si="3"/>
        <v>1</v>
      </c>
      <c r="M73" s="29"/>
      <c r="N73" s="28" t="s">
        <v>118</v>
      </c>
      <c r="O73" s="28" t="s">
        <v>76</v>
      </c>
      <c r="P73" s="28" t="s">
        <v>55</v>
      </c>
      <c r="Q73" s="34" t="s">
        <v>62</v>
      </c>
      <c r="R73" s="28">
        <v>10</v>
      </c>
      <c r="S73" s="29">
        <v>3</v>
      </c>
      <c r="T73" s="29">
        <v>0</v>
      </c>
      <c r="U73" s="29">
        <f t="shared" si="4"/>
        <v>6</v>
      </c>
      <c r="V73" s="31"/>
    </row>
    <row r="74" spans="1:22" s="30" customFormat="1" ht="12.75">
      <c r="A74" s="24">
        <f t="shared" si="0"/>
      </c>
      <c r="B74" s="24" t="s">
        <v>52</v>
      </c>
      <c r="C74" s="29">
        <f t="shared" si="5"/>
        <v>1.5</v>
      </c>
      <c r="D74" s="29">
        <f t="shared" si="1"/>
        <v>3.5</v>
      </c>
      <c r="E74" s="29">
        <f t="shared" si="6"/>
        <v>4</v>
      </c>
      <c r="F74" s="28" t="s">
        <v>123</v>
      </c>
      <c r="G74" s="26" t="s">
        <v>29</v>
      </c>
      <c r="H74" s="26" t="s">
        <v>20</v>
      </c>
      <c r="I74" s="52" t="s">
        <v>54</v>
      </c>
      <c r="J74" s="52" t="s">
        <v>54</v>
      </c>
      <c r="K74" s="27">
        <f t="shared" si="7"/>
        <v>5</v>
      </c>
      <c r="L74" s="29">
        <f ca="1" t="shared" si="3"/>
        <v>1</v>
      </c>
      <c r="M74" s="29"/>
      <c r="N74" s="28" t="s">
        <v>59</v>
      </c>
      <c r="O74" s="28" t="s">
        <v>265</v>
      </c>
      <c r="P74" s="28" t="s">
        <v>55</v>
      </c>
      <c r="Q74" s="34"/>
      <c r="R74" s="28">
        <v>2</v>
      </c>
      <c r="S74" s="29">
        <v>0</v>
      </c>
      <c r="T74" s="29">
        <v>1</v>
      </c>
      <c r="U74" s="29">
        <f t="shared" si="4"/>
        <v>3</v>
      </c>
      <c r="V74" s="31"/>
    </row>
    <row r="75" spans="1:22" s="30" customFormat="1" ht="12.75">
      <c r="A75" s="24">
        <f t="shared" si="0"/>
      </c>
      <c r="B75" s="24" t="s">
        <v>52</v>
      </c>
      <c r="C75" s="29">
        <f t="shared" si="5"/>
        <v>1.5</v>
      </c>
      <c r="D75" s="29">
        <f t="shared" si="1"/>
        <v>3.5</v>
      </c>
      <c r="E75" s="29">
        <f>IF(AND(K75&lt;&gt;"",K75&lt;&gt;"G"),K75-L75,"--")</f>
        <v>4</v>
      </c>
      <c r="F75" s="28" t="s">
        <v>124</v>
      </c>
      <c r="G75" s="26" t="s">
        <v>29</v>
      </c>
      <c r="H75" s="26" t="s">
        <v>20</v>
      </c>
      <c r="I75" s="52" t="s">
        <v>35</v>
      </c>
      <c r="J75" s="52" t="s">
        <v>54</v>
      </c>
      <c r="K75" s="27">
        <f t="shared" si="7"/>
        <v>5</v>
      </c>
      <c r="L75" s="29">
        <f ca="1" t="shared" si="3"/>
        <v>1</v>
      </c>
      <c r="M75" s="29"/>
      <c r="N75" s="28" t="s">
        <v>59</v>
      </c>
      <c r="O75" s="28" t="s">
        <v>94</v>
      </c>
      <c r="P75" s="28" t="s">
        <v>55</v>
      </c>
      <c r="Q75" s="34"/>
      <c r="R75" s="28">
        <v>1</v>
      </c>
      <c r="S75" s="29">
        <v>0</v>
      </c>
      <c r="T75" s="29">
        <v>1</v>
      </c>
      <c r="U75" s="29">
        <f t="shared" si="4"/>
        <v>4</v>
      </c>
      <c r="V75" s="31"/>
    </row>
    <row r="76" spans="1:22" s="30" customFormat="1" ht="12.75">
      <c r="A76" s="24">
        <f t="shared" si="0"/>
      </c>
      <c r="B76" s="24" t="s">
        <v>52</v>
      </c>
      <c r="C76" s="29">
        <f t="shared" si="5"/>
        <v>1.5</v>
      </c>
      <c r="D76" s="29">
        <f t="shared" si="1"/>
        <v>8.5</v>
      </c>
      <c r="E76" s="29">
        <f t="shared" si="6"/>
        <v>9</v>
      </c>
      <c r="F76" s="28" t="s">
        <v>125</v>
      </c>
      <c r="G76" s="26" t="s">
        <v>29</v>
      </c>
      <c r="H76" s="26" t="s">
        <v>20</v>
      </c>
      <c r="I76" s="52" t="s">
        <v>54</v>
      </c>
      <c r="J76" s="52" t="s">
        <v>54</v>
      </c>
      <c r="K76" s="27">
        <f t="shared" si="7"/>
        <v>10</v>
      </c>
      <c r="L76" s="29">
        <f ca="1" t="shared" si="3"/>
        <v>1</v>
      </c>
      <c r="M76" s="29"/>
      <c r="N76" s="28" t="s">
        <v>426</v>
      </c>
      <c r="O76" s="28" t="s">
        <v>76</v>
      </c>
      <c r="P76" s="28" t="s">
        <v>55</v>
      </c>
      <c r="Q76" s="34"/>
      <c r="R76" s="28">
        <v>3</v>
      </c>
      <c r="S76" s="29">
        <v>0</v>
      </c>
      <c r="T76" s="29">
        <v>1</v>
      </c>
      <c r="U76" s="29">
        <f t="shared" si="4"/>
        <v>3</v>
      </c>
      <c r="V76" s="31" t="s">
        <v>492</v>
      </c>
    </row>
    <row r="77" spans="1:22" s="30" customFormat="1" ht="12.75">
      <c r="A77" s="24">
        <f aca="true" t="shared" si="8" ref="A77:A135">IF(OR(B77="Y",B77="M"),K77,"")</f>
      </c>
      <c r="B77" s="24" t="s">
        <v>52</v>
      </c>
      <c r="C77" s="29">
        <f t="shared" si="5"/>
        <v>1.5</v>
      </c>
      <c r="D77" s="29">
        <f aca="true" t="shared" si="9" ref="D77:D135">IF(AND(K77&lt;&gt;"",K77&lt;&gt;"G"),K77-C77,"--")</f>
        <v>8.5</v>
      </c>
      <c r="E77" s="29">
        <f t="shared" si="6"/>
        <v>9</v>
      </c>
      <c r="F77" s="28" t="s">
        <v>126</v>
      </c>
      <c r="G77" s="26" t="s">
        <v>29</v>
      </c>
      <c r="H77" s="26" t="s">
        <v>20</v>
      </c>
      <c r="I77" s="52" t="s">
        <v>54</v>
      </c>
      <c r="J77" s="52" t="s">
        <v>54</v>
      </c>
      <c r="K77" s="27">
        <f t="shared" si="7"/>
        <v>10</v>
      </c>
      <c r="L77" s="29">
        <f aca="true" ca="1" t="shared" si="10" ref="L77:L135">IF(G77="","--",IF(I77="",INDIRECT(G77),MIN(INDIRECT(G77),INDIRECT(LEFT(I77,2)),INDIRECT(RIGHT(I77,2))))+IF(J77="",INDIRECT(H77),MIN(INDIRECT(H77),INDIRECT(LEFT(J77,2)),INDIRECT(RIGHT(J77,2))))+Sta+IF(M77="",0,$G$2))</f>
        <v>1</v>
      </c>
      <c r="M77" s="29"/>
      <c r="N77" s="28" t="s">
        <v>426</v>
      </c>
      <c r="O77" s="28" t="s">
        <v>265</v>
      </c>
      <c r="P77" s="28" t="s">
        <v>55</v>
      </c>
      <c r="Q77" s="34"/>
      <c r="R77" s="28">
        <v>3</v>
      </c>
      <c r="S77" s="29">
        <v>0</v>
      </c>
      <c r="T77" s="29">
        <v>0</v>
      </c>
      <c r="U77" s="29">
        <f aca="true" t="shared" si="11" ref="U77:U135">S77+T77+VLOOKUP(N77,Ranges,2,FALSE)+VLOOKUP(O77,Durations,2,FALSE)+VLOOKUP(P77,Targets,2,FALSE)</f>
        <v>3</v>
      </c>
      <c r="V77" s="31" t="s">
        <v>493</v>
      </c>
    </row>
    <row r="78" spans="1:22" s="30" customFormat="1" ht="12.75">
      <c r="A78" s="24">
        <f>IF(OR(B78="Y",B78="M"),K78,"")</f>
      </c>
      <c r="B78" s="24" t="s">
        <v>52</v>
      </c>
      <c r="C78" s="29">
        <f>IF(G78="","--",(L78-Sta+Int)/2)</f>
        <v>1.5</v>
      </c>
      <c r="D78" s="29">
        <f>IF(AND(K78&lt;&gt;"",K78&lt;&gt;"G"),K78-C78,"--")</f>
        <v>8.5</v>
      </c>
      <c r="E78" s="29">
        <f>IF(AND(K78&lt;&gt;"",K78&lt;&gt;"G"),K78-L78,"--")</f>
        <v>9</v>
      </c>
      <c r="F78" s="28" t="s">
        <v>128</v>
      </c>
      <c r="G78" s="26" t="s">
        <v>29</v>
      </c>
      <c r="H78" s="26" t="s">
        <v>20</v>
      </c>
      <c r="I78" s="52" t="s">
        <v>54</v>
      </c>
      <c r="J78" s="52" t="s">
        <v>54</v>
      </c>
      <c r="K78" s="27">
        <f>IF(R78="G","G",IF(R78&gt;=5,R78+U78*5,IF((R78+U78)&lt;=5,(R78+U78),(5+5*(R78+U78-5)))))</f>
        <v>10</v>
      </c>
      <c r="L78" s="29">
        <f ca="1">IF(G78="","--",IF(I78="",INDIRECT(G78),MIN(INDIRECT(G78),INDIRECT(LEFT(I78,2)),INDIRECT(RIGHT(I78,2))))+IF(J78="",INDIRECT(H78),MIN(INDIRECT(H78),INDIRECT(LEFT(J78,2)),INDIRECT(RIGHT(J78,2))))+Sta+IF(M78="",0,$G$2))</f>
        <v>1</v>
      </c>
      <c r="M78" s="29"/>
      <c r="N78" s="28" t="s">
        <v>426</v>
      </c>
      <c r="O78" s="28" t="s">
        <v>265</v>
      </c>
      <c r="P78" s="28" t="s">
        <v>55</v>
      </c>
      <c r="Q78" s="34"/>
      <c r="R78" s="28">
        <v>3</v>
      </c>
      <c r="S78" s="29">
        <v>0</v>
      </c>
      <c r="T78" s="29">
        <v>0</v>
      </c>
      <c r="U78" s="29">
        <f>S78+T78+VLOOKUP(N78,Ranges,2,FALSE)+VLOOKUP(O78,Durations,2,FALSE)+VLOOKUP(P78,Targets,2,FALSE)</f>
        <v>3</v>
      </c>
      <c r="V78" s="31" t="s">
        <v>494</v>
      </c>
    </row>
    <row r="79" spans="1:22" s="30" customFormat="1" ht="12.75">
      <c r="A79" s="24">
        <f t="shared" si="8"/>
      </c>
      <c r="B79" s="24" t="s">
        <v>52</v>
      </c>
      <c r="C79" s="29">
        <f aca="true" t="shared" si="12" ref="C79:C135">IF(G79="","--",(L79-Sta+Int)/2)</f>
        <v>1.5</v>
      </c>
      <c r="D79" s="29">
        <f t="shared" si="9"/>
        <v>13.5</v>
      </c>
      <c r="E79" s="29">
        <f t="shared" si="6"/>
        <v>14</v>
      </c>
      <c r="F79" s="28" t="s">
        <v>147</v>
      </c>
      <c r="G79" s="26" t="s">
        <v>29</v>
      </c>
      <c r="H79" s="26" t="s">
        <v>20</v>
      </c>
      <c r="I79" s="52" t="s">
        <v>54</v>
      </c>
      <c r="J79" s="52" t="s">
        <v>54</v>
      </c>
      <c r="K79" s="27">
        <f t="shared" si="7"/>
        <v>15</v>
      </c>
      <c r="L79" s="29">
        <f ca="1" t="shared" si="10"/>
        <v>1</v>
      </c>
      <c r="M79" s="29"/>
      <c r="N79" s="28" t="s">
        <v>426</v>
      </c>
      <c r="O79" s="28" t="s">
        <v>76</v>
      </c>
      <c r="P79" s="28" t="s">
        <v>55</v>
      </c>
      <c r="Q79" s="34"/>
      <c r="R79" s="28">
        <v>3</v>
      </c>
      <c r="S79" s="29">
        <v>0</v>
      </c>
      <c r="T79" s="29">
        <v>2</v>
      </c>
      <c r="U79" s="29">
        <f t="shared" si="11"/>
        <v>4</v>
      </c>
      <c r="V79" s="31" t="s">
        <v>495</v>
      </c>
    </row>
    <row r="80" spans="1:22" s="30" customFormat="1" ht="12.75">
      <c r="A80" s="24">
        <f>IF(OR(B80="Y",B80="M"),K80,"")</f>
      </c>
      <c r="B80" s="24" t="s">
        <v>52</v>
      </c>
      <c r="C80" s="29">
        <f>IF(G80="","--",(L80-Sta+Int)/2)</f>
        <v>1.5</v>
      </c>
      <c r="D80" s="29">
        <f>IF(AND(K80&lt;&gt;"",K80&lt;&gt;"G"),K80-C80,"--")</f>
        <v>13.5</v>
      </c>
      <c r="E80" s="29">
        <f>IF(AND(K80&lt;&gt;"",K80&lt;&gt;"G"),K80-L80,"--")</f>
        <v>14</v>
      </c>
      <c r="F80" s="28" t="s">
        <v>127</v>
      </c>
      <c r="G80" s="26" t="s">
        <v>29</v>
      </c>
      <c r="H80" s="26" t="s">
        <v>20</v>
      </c>
      <c r="I80" s="52" t="s">
        <v>54</v>
      </c>
      <c r="J80" s="52" t="s">
        <v>54</v>
      </c>
      <c r="K80" s="27">
        <f>IF(R80="G","G",IF(R80&gt;=5,R80+U80*5,IF((R80+U80)&lt;=5,(R80+U80),(5+5*(R80+U80-5)))))</f>
        <v>15</v>
      </c>
      <c r="L80" s="29">
        <f ca="1">IF(G80="","--",IF(I80="",INDIRECT(G80),MIN(INDIRECT(G80),INDIRECT(LEFT(I80,2)),INDIRECT(RIGHT(I80,2))))+IF(J80="",INDIRECT(H80),MIN(INDIRECT(H80),INDIRECT(LEFT(J80,2)),INDIRECT(RIGHT(J80,2))))+Sta+IF(M80="",0,$G$2))</f>
        <v>1</v>
      </c>
      <c r="M80" s="29"/>
      <c r="N80" s="28" t="s">
        <v>426</v>
      </c>
      <c r="O80" s="28" t="s">
        <v>66</v>
      </c>
      <c r="P80" s="28" t="s">
        <v>55</v>
      </c>
      <c r="Q80" s="34"/>
      <c r="R80" s="28">
        <v>3</v>
      </c>
      <c r="S80" s="29">
        <v>0</v>
      </c>
      <c r="T80" s="29">
        <v>1</v>
      </c>
      <c r="U80" s="29">
        <f>S80+T80+VLOOKUP(N80,Ranges,2,FALSE)+VLOOKUP(O80,Durations,2,FALSE)+VLOOKUP(P80,Targets,2,FALSE)</f>
        <v>4</v>
      </c>
      <c r="V80" s="31" t="s">
        <v>496</v>
      </c>
    </row>
    <row r="81" spans="1:22" s="30" customFormat="1" ht="12.75">
      <c r="A81" s="24">
        <f>IF(OR(B81="Y",B81="M"),K81,"")</f>
      </c>
      <c r="B81" s="24" t="s">
        <v>52</v>
      </c>
      <c r="C81" s="29">
        <f>IF(G81="","--",(L81-Sta+Int)/2)</f>
        <v>1.5</v>
      </c>
      <c r="D81" s="29">
        <f>IF(AND(K81&lt;&gt;"",K81&lt;&gt;"G"),K81-C81,"--")</f>
        <v>18.5</v>
      </c>
      <c r="E81" s="29">
        <f>IF(AND(K81&lt;&gt;"",K81&lt;&gt;"G"),K81-L81,"--")</f>
        <v>19</v>
      </c>
      <c r="F81" s="28" t="s">
        <v>148</v>
      </c>
      <c r="G81" s="26" t="s">
        <v>29</v>
      </c>
      <c r="H81" s="26" t="s">
        <v>20</v>
      </c>
      <c r="I81" s="52" t="s">
        <v>35</v>
      </c>
      <c r="J81" s="52" t="s">
        <v>54</v>
      </c>
      <c r="K81" s="27">
        <f>IF(R81="G","G",IF(R81&gt;=5,R81+U81*5,IF((R81+U81)&lt;=5,(R81+U81),(5+5*(R81+U81-5)))))</f>
        <v>20</v>
      </c>
      <c r="L81" s="29">
        <f ca="1">IF(G81="","--",IF(I81="",INDIRECT(G81),MIN(INDIRECT(G81),INDIRECT(LEFT(I81,2)),INDIRECT(RIGHT(I81,2))))+IF(J81="",INDIRECT(H81),MIN(INDIRECT(H81),INDIRECT(LEFT(J81,2)),INDIRECT(RIGHT(J81,2))))+Sta+IF(M81="",0,$G$2))</f>
        <v>1</v>
      </c>
      <c r="M81" s="29"/>
      <c r="N81" s="28" t="s">
        <v>59</v>
      </c>
      <c r="O81" s="28" t="s">
        <v>66</v>
      </c>
      <c r="P81" s="28" t="s">
        <v>55</v>
      </c>
      <c r="Q81" s="34"/>
      <c r="R81" s="28">
        <v>3</v>
      </c>
      <c r="S81" s="29">
        <v>0</v>
      </c>
      <c r="T81" s="29">
        <v>3</v>
      </c>
      <c r="U81" s="29">
        <f>S81+T81+VLOOKUP(N81,Ranges,2,FALSE)+VLOOKUP(O81,Durations,2,FALSE)+VLOOKUP(P81,Targets,2,FALSE)</f>
        <v>5</v>
      </c>
      <c r="V81" s="31" t="s">
        <v>497</v>
      </c>
    </row>
    <row r="82" spans="1:22" s="30" customFormat="1" ht="12.75">
      <c r="A82" s="24">
        <f t="shared" si="8"/>
      </c>
      <c r="B82" s="24" t="s">
        <v>52</v>
      </c>
      <c r="C82" s="29">
        <f t="shared" si="12"/>
        <v>1.5</v>
      </c>
      <c r="D82" s="29">
        <f t="shared" si="9"/>
        <v>23.5</v>
      </c>
      <c r="E82" s="29">
        <f aca="true" t="shared" si="13" ref="E82:E135">IF(AND(K82&lt;&gt;"",K82&lt;&gt;"G"),K82-L82,"--")</f>
        <v>24</v>
      </c>
      <c r="F82" s="28" t="s">
        <v>129</v>
      </c>
      <c r="G82" s="26" t="s">
        <v>29</v>
      </c>
      <c r="H82" s="26" t="s">
        <v>20</v>
      </c>
      <c r="I82" s="52" t="s">
        <v>54</v>
      </c>
      <c r="J82" s="52" t="s">
        <v>54</v>
      </c>
      <c r="K82" s="27">
        <f t="shared" si="7"/>
        <v>25</v>
      </c>
      <c r="L82" s="29">
        <f ca="1" t="shared" si="10"/>
        <v>1</v>
      </c>
      <c r="M82" s="29"/>
      <c r="N82" s="28" t="s">
        <v>118</v>
      </c>
      <c r="O82" s="28" t="s">
        <v>66</v>
      </c>
      <c r="P82" s="28" t="s">
        <v>85</v>
      </c>
      <c r="Q82" s="34"/>
      <c r="R82" s="28">
        <v>2</v>
      </c>
      <c r="S82" s="29">
        <v>1</v>
      </c>
      <c r="T82" s="29">
        <v>0</v>
      </c>
      <c r="U82" s="29">
        <f t="shared" si="11"/>
        <v>7</v>
      </c>
      <c r="V82" s="31"/>
    </row>
    <row r="83" spans="1:22" s="30" customFormat="1" ht="12.75">
      <c r="A83" s="24">
        <f t="shared" si="8"/>
      </c>
      <c r="B83" s="24" t="s">
        <v>52</v>
      </c>
      <c r="C83" s="29">
        <f t="shared" si="12"/>
        <v>1.5</v>
      </c>
      <c r="D83" s="29">
        <f t="shared" si="9"/>
        <v>23.5</v>
      </c>
      <c r="E83" s="29">
        <f t="shared" si="13"/>
        <v>24</v>
      </c>
      <c r="F83" s="28" t="s">
        <v>130</v>
      </c>
      <c r="G83" s="26" t="s">
        <v>29</v>
      </c>
      <c r="H83" s="26" t="s">
        <v>20</v>
      </c>
      <c r="I83" s="52" t="s">
        <v>54</v>
      </c>
      <c r="J83" s="52" t="s">
        <v>54</v>
      </c>
      <c r="K83" s="27">
        <f t="shared" si="7"/>
        <v>25</v>
      </c>
      <c r="L83" s="29">
        <f ca="1" t="shared" si="10"/>
        <v>1</v>
      </c>
      <c r="M83" s="29"/>
      <c r="N83" s="28" t="s">
        <v>118</v>
      </c>
      <c r="O83" s="28" t="s">
        <v>66</v>
      </c>
      <c r="P83" s="28" t="s">
        <v>85</v>
      </c>
      <c r="Q83" s="34"/>
      <c r="R83" s="28">
        <v>2</v>
      </c>
      <c r="S83" s="29">
        <v>1</v>
      </c>
      <c r="T83" s="29">
        <v>0</v>
      </c>
      <c r="U83" s="29">
        <f t="shared" si="11"/>
        <v>7</v>
      </c>
      <c r="V83" s="31"/>
    </row>
    <row r="84" spans="1:22" s="30" customFormat="1" ht="12.75">
      <c r="A84" s="24">
        <f>IF(OR(B84="Y",B84="M"),K84,"")</f>
      </c>
      <c r="B84" s="24" t="s">
        <v>52</v>
      </c>
      <c r="C84" s="29">
        <f>IF(G84="","--",(L84-Sta+Int)/2)</f>
        <v>1.5</v>
      </c>
      <c r="D84" s="29">
        <f>IF(AND(K84&lt;&gt;"",K84&lt;&gt;"G"),K84-C84,"--")</f>
        <v>28.5</v>
      </c>
      <c r="E84" s="29">
        <f>IF(AND(K84&lt;&gt;"",K84&lt;&gt;"G"),K84-L84,"--")</f>
        <v>29</v>
      </c>
      <c r="F84" s="28" t="s">
        <v>151</v>
      </c>
      <c r="G84" s="26" t="s">
        <v>29</v>
      </c>
      <c r="H84" s="26" t="s">
        <v>20</v>
      </c>
      <c r="I84" s="52" t="s">
        <v>54</v>
      </c>
      <c r="J84" s="52" t="s">
        <v>54</v>
      </c>
      <c r="K84" s="27">
        <f>IF(R84="G","G",IF(R84&gt;=5,R84+U84*5,IF((R84+U84)&lt;=5,(R84+U84),(5+5*(R84+U84-5)))))</f>
        <v>30</v>
      </c>
      <c r="L84" s="29">
        <f ca="1">IF(G84="","--",IF(I84="",INDIRECT(G84),MIN(INDIRECT(G84),INDIRECT(LEFT(I84,2)),INDIRECT(RIGHT(I84,2))))+IF(J84="",INDIRECT(H84),MIN(INDIRECT(H84),INDIRECT(LEFT(J84,2)),INDIRECT(RIGHT(J84,2))))+Sta+IF(M84="",0,$G$2))</f>
        <v>1</v>
      </c>
      <c r="M84" s="29"/>
      <c r="N84" s="28" t="s">
        <v>426</v>
      </c>
      <c r="O84" s="28" t="s">
        <v>66</v>
      </c>
      <c r="P84" s="28" t="s">
        <v>55</v>
      </c>
      <c r="Q84" s="34"/>
      <c r="R84" s="28">
        <v>5</v>
      </c>
      <c r="S84" s="29">
        <v>0</v>
      </c>
      <c r="T84" s="29">
        <v>2</v>
      </c>
      <c r="U84" s="29">
        <f>S84+T84+VLOOKUP(N84,Ranges,2,FALSE)+VLOOKUP(O84,Durations,2,FALSE)+VLOOKUP(P84,Targets,2,FALSE)</f>
        <v>5</v>
      </c>
      <c r="V84" s="31" t="s">
        <v>498</v>
      </c>
    </row>
    <row r="85" spans="1:22" s="30" customFormat="1" ht="12.75">
      <c r="A85" s="24">
        <f>IF(OR(B85="Y",B85="M"),K85,"")</f>
      </c>
      <c r="B85" s="24" t="s">
        <v>52</v>
      </c>
      <c r="C85" s="29">
        <f>IF(G85="","--",(L85-Sta+Int)/2)</f>
        <v>1.5</v>
      </c>
      <c r="D85" s="29">
        <f>IF(AND(K85&lt;&gt;"",K85&lt;&gt;"G"),K85-C85,"--")</f>
        <v>28.5</v>
      </c>
      <c r="E85" s="29">
        <f>IF(AND(K85&lt;&gt;"",K85&lt;&gt;"G"),K85-L85,"--")</f>
        <v>29</v>
      </c>
      <c r="F85" s="28" t="s">
        <v>149</v>
      </c>
      <c r="G85" s="26" t="s">
        <v>29</v>
      </c>
      <c r="H85" s="26" t="s">
        <v>20</v>
      </c>
      <c r="I85" s="52" t="s">
        <v>35</v>
      </c>
      <c r="J85" s="52" t="s">
        <v>54</v>
      </c>
      <c r="K85" s="27">
        <f>IF(R85="G","G",IF(R85&gt;=5,R85+U85*5,IF((R85+U85)&lt;=5,(R85+U85),(5+5*(R85+U85-5)))))</f>
        <v>30</v>
      </c>
      <c r="L85" s="29">
        <f ca="1">IF(G85="","--",IF(I85="",INDIRECT(G85),MIN(INDIRECT(G85),INDIRECT(LEFT(I85,2)),INDIRECT(RIGHT(I85,2))))+IF(J85="",INDIRECT(H85),MIN(INDIRECT(H85),INDIRECT(LEFT(J85,2)),INDIRECT(RIGHT(J85,2))))+Sta+IF(M85="",0,$G$2))</f>
        <v>1</v>
      </c>
      <c r="M85" s="29"/>
      <c r="N85" s="28" t="s">
        <v>59</v>
      </c>
      <c r="O85" s="28" t="s">
        <v>66</v>
      </c>
      <c r="P85" s="28" t="s">
        <v>55</v>
      </c>
      <c r="Q85" s="34"/>
      <c r="R85" s="28">
        <v>5</v>
      </c>
      <c r="S85" s="29">
        <v>0</v>
      </c>
      <c r="T85" s="29">
        <v>3</v>
      </c>
      <c r="U85" s="29">
        <f>S85+T85+VLOOKUP(N85,Ranges,2,FALSE)+VLOOKUP(O85,Durations,2,FALSE)+VLOOKUP(P85,Targets,2,FALSE)</f>
        <v>5</v>
      </c>
      <c r="V85" s="31" t="s">
        <v>499</v>
      </c>
    </row>
    <row r="86" spans="1:22" s="30" customFormat="1" ht="12.75">
      <c r="A86" s="24">
        <f t="shared" si="8"/>
      </c>
      <c r="B86" s="24" t="s">
        <v>52</v>
      </c>
      <c r="C86" s="29">
        <f t="shared" si="12"/>
        <v>1.5</v>
      </c>
      <c r="D86" s="29">
        <f t="shared" si="9"/>
        <v>33.5</v>
      </c>
      <c r="E86" s="29">
        <f t="shared" si="13"/>
        <v>34</v>
      </c>
      <c r="F86" s="28" t="s">
        <v>131</v>
      </c>
      <c r="G86" s="26" t="s">
        <v>29</v>
      </c>
      <c r="H86" s="26" t="s">
        <v>20</v>
      </c>
      <c r="I86" s="52" t="s">
        <v>54</v>
      </c>
      <c r="J86" s="52" t="s">
        <v>54</v>
      </c>
      <c r="K86" s="27">
        <f t="shared" si="7"/>
        <v>35</v>
      </c>
      <c r="L86" s="29">
        <f ca="1" t="shared" si="10"/>
        <v>1</v>
      </c>
      <c r="M86" s="29"/>
      <c r="N86" s="28" t="s">
        <v>426</v>
      </c>
      <c r="O86" s="28" t="s">
        <v>76</v>
      </c>
      <c r="P86" s="28" t="s">
        <v>55</v>
      </c>
      <c r="Q86" s="34"/>
      <c r="R86" s="28">
        <v>5</v>
      </c>
      <c r="S86" s="29">
        <v>0</v>
      </c>
      <c r="T86" s="29">
        <v>4</v>
      </c>
      <c r="U86" s="29">
        <f t="shared" si="11"/>
        <v>6</v>
      </c>
      <c r="V86" s="94" t="s">
        <v>500</v>
      </c>
    </row>
    <row r="87" spans="1:22" s="30" customFormat="1" ht="12.75">
      <c r="A87" s="24">
        <f t="shared" si="8"/>
      </c>
      <c r="B87" s="24" t="s">
        <v>52</v>
      </c>
      <c r="C87" s="29">
        <f t="shared" si="12"/>
        <v>1.5</v>
      </c>
      <c r="D87" s="29">
        <f t="shared" si="9"/>
        <v>38.5</v>
      </c>
      <c r="E87" s="29">
        <f t="shared" si="13"/>
        <v>39</v>
      </c>
      <c r="F87" s="28" t="s">
        <v>132</v>
      </c>
      <c r="G87" s="26" t="s">
        <v>29</v>
      </c>
      <c r="H87" s="26" t="s">
        <v>20</v>
      </c>
      <c r="I87" s="52" t="s">
        <v>54</v>
      </c>
      <c r="J87" s="52" t="s">
        <v>54</v>
      </c>
      <c r="K87" s="27">
        <f t="shared" si="7"/>
        <v>40</v>
      </c>
      <c r="L87" s="29">
        <f ca="1" t="shared" si="10"/>
        <v>1</v>
      </c>
      <c r="M87" s="29"/>
      <c r="N87" s="28" t="s">
        <v>59</v>
      </c>
      <c r="O87" s="28" t="s">
        <v>66</v>
      </c>
      <c r="P87" s="28" t="s">
        <v>55</v>
      </c>
      <c r="Q87" s="34" t="s">
        <v>62</v>
      </c>
      <c r="R87" s="28">
        <v>5</v>
      </c>
      <c r="S87" s="29">
        <v>4</v>
      </c>
      <c r="T87" s="29">
        <v>1</v>
      </c>
      <c r="U87" s="29">
        <f t="shared" si="11"/>
        <v>7</v>
      </c>
      <c r="V87" s="31"/>
    </row>
    <row r="88" spans="1:22" s="30" customFormat="1" ht="12.75">
      <c r="A88" s="24">
        <f t="shared" si="8"/>
      </c>
      <c r="B88" s="24" t="s">
        <v>52</v>
      </c>
      <c r="C88" s="29">
        <f t="shared" si="12"/>
        <v>1.5</v>
      </c>
      <c r="D88" s="29">
        <f t="shared" si="9"/>
        <v>63.5</v>
      </c>
      <c r="E88" s="29">
        <f t="shared" si="13"/>
        <v>64</v>
      </c>
      <c r="F88" s="28" t="s">
        <v>133</v>
      </c>
      <c r="G88" s="26" t="s">
        <v>29</v>
      </c>
      <c r="H88" s="26" t="s">
        <v>20</v>
      </c>
      <c r="I88" s="52" t="s">
        <v>54</v>
      </c>
      <c r="J88" s="52" t="s">
        <v>54</v>
      </c>
      <c r="K88" s="27">
        <f t="shared" si="7"/>
        <v>65</v>
      </c>
      <c r="L88" s="29">
        <f ca="1" t="shared" si="10"/>
        <v>1</v>
      </c>
      <c r="M88" s="29"/>
      <c r="N88" s="28" t="s">
        <v>118</v>
      </c>
      <c r="O88" s="28" t="s">
        <v>94</v>
      </c>
      <c r="P88" s="28" t="s">
        <v>85</v>
      </c>
      <c r="Q88" s="34" t="s">
        <v>62</v>
      </c>
      <c r="R88" s="28">
        <v>5</v>
      </c>
      <c r="S88" s="29">
        <v>5</v>
      </c>
      <c r="T88" s="29">
        <v>0</v>
      </c>
      <c r="U88" s="29">
        <f t="shared" si="11"/>
        <v>12</v>
      </c>
      <c r="V88" s="31" t="s">
        <v>501</v>
      </c>
    </row>
    <row r="89" spans="1:22" s="30" customFormat="1" ht="12.75">
      <c r="A89" s="24">
        <f t="shared" si="8"/>
      </c>
      <c r="B89" s="24" t="s">
        <v>52</v>
      </c>
      <c r="C89" s="29">
        <f t="shared" si="12"/>
        <v>1.5</v>
      </c>
      <c r="D89" s="29">
        <f t="shared" si="9"/>
        <v>13.5</v>
      </c>
      <c r="E89" s="29">
        <f t="shared" si="13"/>
        <v>14</v>
      </c>
      <c r="F89" s="28" t="s">
        <v>134</v>
      </c>
      <c r="G89" s="26" t="s">
        <v>30</v>
      </c>
      <c r="H89" s="26" t="s">
        <v>20</v>
      </c>
      <c r="I89" s="52" t="s">
        <v>54</v>
      </c>
      <c r="J89" s="52" t="s">
        <v>54</v>
      </c>
      <c r="K89" s="27">
        <f t="shared" si="7"/>
        <v>15</v>
      </c>
      <c r="L89" s="29">
        <f ca="1" t="shared" si="10"/>
        <v>1</v>
      </c>
      <c r="M89" s="29"/>
      <c r="N89" s="28" t="s">
        <v>93</v>
      </c>
      <c r="O89" s="28" t="s">
        <v>94</v>
      </c>
      <c r="P89" s="28" t="s">
        <v>431</v>
      </c>
      <c r="Q89" s="34"/>
      <c r="R89" s="28">
        <v>1</v>
      </c>
      <c r="S89" s="29">
        <v>0</v>
      </c>
      <c r="T89" s="29">
        <v>0</v>
      </c>
      <c r="U89" s="29">
        <f t="shared" si="11"/>
        <v>6</v>
      </c>
      <c r="V89" s="31"/>
    </row>
    <row r="90" spans="1:22" s="30" customFormat="1" ht="12.75">
      <c r="A90" s="24">
        <f t="shared" si="8"/>
      </c>
      <c r="B90" s="24" t="s">
        <v>52</v>
      </c>
      <c r="C90" s="29">
        <f t="shared" si="12"/>
        <v>1.5</v>
      </c>
      <c r="D90" s="29">
        <f t="shared" si="9"/>
        <v>13.5</v>
      </c>
      <c r="E90" s="29">
        <f t="shared" si="13"/>
        <v>14</v>
      </c>
      <c r="F90" s="28" t="s">
        <v>135</v>
      </c>
      <c r="G90" s="26" t="s">
        <v>30</v>
      </c>
      <c r="H90" s="26" t="s">
        <v>20</v>
      </c>
      <c r="I90" s="52" t="s">
        <v>54</v>
      </c>
      <c r="J90" s="52" t="s">
        <v>54</v>
      </c>
      <c r="K90" s="27">
        <f t="shared" si="7"/>
        <v>15</v>
      </c>
      <c r="L90" s="29">
        <f ca="1" t="shared" si="10"/>
        <v>1</v>
      </c>
      <c r="M90" s="29"/>
      <c r="N90" s="28" t="s">
        <v>118</v>
      </c>
      <c r="O90" s="28" t="s">
        <v>66</v>
      </c>
      <c r="P90" s="28" t="s">
        <v>55</v>
      </c>
      <c r="Q90" s="34"/>
      <c r="R90" s="28">
        <v>3</v>
      </c>
      <c r="S90" s="29">
        <v>0</v>
      </c>
      <c r="T90" s="29">
        <v>0</v>
      </c>
      <c r="U90" s="29">
        <f t="shared" si="11"/>
        <v>4</v>
      </c>
      <c r="V90" s="31"/>
    </row>
    <row r="91" spans="1:22" s="30" customFormat="1" ht="12.75">
      <c r="A91" s="24">
        <f>IF(OR(B91="Y",B91="M"),K91,"")</f>
      </c>
      <c r="B91" s="24" t="s">
        <v>52</v>
      </c>
      <c r="C91" s="29">
        <f>IF(G91="","--",(L91-Sta+Int)/2)</f>
        <v>1.5</v>
      </c>
      <c r="D91" s="29">
        <f>IF(AND(K91&lt;&gt;"",K91&lt;&gt;"G"),K91-C91,"--")</f>
        <v>18.5</v>
      </c>
      <c r="E91" s="29">
        <f>IF(AND(K91&lt;&gt;"",K91&lt;&gt;"G"),K91-L91,"--")</f>
        <v>19</v>
      </c>
      <c r="F91" s="28" t="s">
        <v>137</v>
      </c>
      <c r="G91" s="26" t="s">
        <v>30</v>
      </c>
      <c r="H91" s="26" t="s">
        <v>20</v>
      </c>
      <c r="I91" s="52" t="s">
        <v>54</v>
      </c>
      <c r="J91" s="52" t="s">
        <v>54</v>
      </c>
      <c r="K91" s="27">
        <f>IF(R91="G","G",IF(R91&gt;=5,R91+U91*5,IF((R91+U91)&lt;=5,(R91+U91),(5+5*(R91+U91-5)))))</f>
        <v>20</v>
      </c>
      <c r="L91" s="29">
        <f ca="1">IF(G91="","--",IF(I91="",INDIRECT(G91),MIN(INDIRECT(G91),INDIRECT(LEFT(I91,2)),INDIRECT(RIGHT(I91,2))))+IF(J91="",INDIRECT(H91),MIN(INDIRECT(H91),INDIRECT(LEFT(J91,2)),INDIRECT(RIGHT(J91,2))))+Sta+IF(M91="",0,$G$2))</f>
        <v>1</v>
      </c>
      <c r="M91" s="29"/>
      <c r="N91" s="28" t="s">
        <v>59</v>
      </c>
      <c r="O91" s="28" t="s">
        <v>76</v>
      </c>
      <c r="P91" s="28" t="s">
        <v>85</v>
      </c>
      <c r="Q91" s="34"/>
      <c r="R91" s="28">
        <v>4</v>
      </c>
      <c r="S91" s="29">
        <v>1</v>
      </c>
      <c r="T91" s="29">
        <v>0</v>
      </c>
      <c r="U91" s="29">
        <f>S91+T91+VLOOKUP(N91,Ranges,2,FALSE)+VLOOKUP(O91,Durations,2,FALSE)+VLOOKUP(P91,Targets,2,FALSE)</f>
        <v>4</v>
      </c>
      <c r="V91" s="31"/>
    </row>
    <row r="92" spans="1:22" s="30" customFormat="1" ht="12.75">
      <c r="A92" s="24">
        <f t="shared" si="8"/>
      </c>
      <c r="B92" s="24" t="s">
        <v>52</v>
      </c>
      <c r="C92" s="29">
        <f t="shared" si="12"/>
        <v>1.5</v>
      </c>
      <c r="D92" s="29">
        <f t="shared" si="9"/>
        <v>23.5</v>
      </c>
      <c r="E92" s="29">
        <f t="shared" si="13"/>
        <v>24</v>
      </c>
      <c r="F92" s="28" t="s">
        <v>136</v>
      </c>
      <c r="G92" s="26" t="s">
        <v>30</v>
      </c>
      <c r="H92" s="26" t="s">
        <v>20</v>
      </c>
      <c r="I92" s="52" t="s">
        <v>54</v>
      </c>
      <c r="J92" s="52" t="s">
        <v>54</v>
      </c>
      <c r="K92" s="27">
        <f t="shared" si="7"/>
        <v>25</v>
      </c>
      <c r="L92" s="29">
        <f ca="1" t="shared" si="10"/>
        <v>1</v>
      </c>
      <c r="M92" s="29"/>
      <c r="N92" s="28" t="s">
        <v>93</v>
      </c>
      <c r="O92" s="28" t="s">
        <v>94</v>
      </c>
      <c r="P92" s="28" t="s">
        <v>432</v>
      </c>
      <c r="Q92" s="34"/>
      <c r="R92" s="28">
        <v>4</v>
      </c>
      <c r="S92" s="29">
        <v>0</v>
      </c>
      <c r="T92" s="29">
        <v>0</v>
      </c>
      <c r="U92" s="29">
        <f t="shared" si="11"/>
        <v>5</v>
      </c>
      <c r="V92" s="31"/>
    </row>
    <row r="93" spans="1:22" s="30" customFormat="1" ht="12.75">
      <c r="A93" s="24">
        <f t="shared" si="8"/>
      </c>
      <c r="B93" s="24" t="s">
        <v>52</v>
      </c>
      <c r="C93" s="29">
        <f t="shared" si="12"/>
        <v>1.5</v>
      </c>
      <c r="D93" s="29">
        <f t="shared" si="9"/>
        <v>18.5</v>
      </c>
      <c r="E93" s="29">
        <f t="shared" si="13"/>
        <v>19</v>
      </c>
      <c r="F93" s="28" t="s">
        <v>138</v>
      </c>
      <c r="G93" s="26" t="s">
        <v>32</v>
      </c>
      <c r="H93" s="26" t="s">
        <v>20</v>
      </c>
      <c r="I93" s="52" t="s">
        <v>54</v>
      </c>
      <c r="J93" s="52" t="s">
        <v>26</v>
      </c>
      <c r="K93" s="27">
        <f t="shared" si="7"/>
        <v>20</v>
      </c>
      <c r="L93" s="29">
        <f ca="1" t="shared" si="10"/>
        <v>1</v>
      </c>
      <c r="M93" s="29"/>
      <c r="N93" s="28" t="s">
        <v>426</v>
      </c>
      <c r="O93" s="28" t="s">
        <v>94</v>
      </c>
      <c r="P93" s="28" t="s">
        <v>55</v>
      </c>
      <c r="Q93" s="34"/>
      <c r="R93" s="28">
        <v>4</v>
      </c>
      <c r="S93" s="29">
        <v>0</v>
      </c>
      <c r="T93" s="29">
        <v>0</v>
      </c>
      <c r="U93" s="29">
        <f t="shared" si="11"/>
        <v>4</v>
      </c>
      <c r="V93" s="94" t="s">
        <v>502</v>
      </c>
    </row>
    <row r="94" spans="1:22" s="30" customFormat="1" ht="12.75">
      <c r="A94" s="24">
        <f t="shared" si="8"/>
      </c>
      <c r="B94" s="24" t="s">
        <v>52</v>
      </c>
      <c r="C94" s="29">
        <f t="shared" si="12"/>
        <v>1.5</v>
      </c>
      <c r="D94" s="29">
        <f t="shared" si="9"/>
        <v>18.5</v>
      </c>
      <c r="E94" s="29">
        <f t="shared" si="13"/>
        <v>19</v>
      </c>
      <c r="F94" s="28" t="s">
        <v>139</v>
      </c>
      <c r="G94" s="26" t="s">
        <v>32</v>
      </c>
      <c r="H94" s="26" t="s">
        <v>20</v>
      </c>
      <c r="I94" s="52" t="s">
        <v>35</v>
      </c>
      <c r="J94" s="52" t="s">
        <v>54</v>
      </c>
      <c r="K94" s="27">
        <f t="shared" si="7"/>
        <v>20</v>
      </c>
      <c r="L94" s="29">
        <f ca="1" t="shared" si="10"/>
        <v>1</v>
      </c>
      <c r="M94" s="29"/>
      <c r="N94" s="28" t="s">
        <v>426</v>
      </c>
      <c r="O94" s="28" t="s">
        <v>265</v>
      </c>
      <c r="P94" s="28" t="s">
        <v>55</v>
      </c>
      <c r="Q94" s="34"/>
      <c r="R94" s="28">
        <v>4</v>
      </c>
      <c r="S94" s="29">
        <v>0</v>
      </c>
      <c r="T94" s="29">
        <v>1</v>
      </c>
      <c r="U94" s="29">
        <f t="shared" si="11"/>
        <v>4</v>
      </c>
      <c r="V94" s="94" t="s">
        <v>503</v>
      </c>
    </row>
    <row r="95" spans="1:22" s="30" customFormat="1" ht="12.75">
      <c r="A95" s="24">
        <f t="shared" si="8"/>
      </c>
      <c r="B95" s="24" t="s">
        <v>52</v>
      </c>
      <c r="C95" s="29">
        <f t="shared" si="12"/>
        <v>1.5</v>
      </c>
      <c r="D95" s="29">
        <f t="shared" si="9"/>
        <v>38.5</v>
      </c>
      <c r="E95" s="29">
        <f t="shared" si="13"/>
        <v>39</v>
      </c>
      <c r="F95" s="28" t="s">
        <v>140</v>
      </c>
      <c r="G95" s="26" t="s">
        <v>32</v>
      </c>
      <c r="H95" s="26" t="s">
        <v>20</v>
      </c>
      <c r="I95" s="52"/>
      <c r="J95" s="52" t="s">
        <v>54</v>
      </c>
      <c r="K95" s="27">
        <f t="shared" si="7"/>
        <v>40</v>
      </c>
      <c r="L95" s="29">
        <f ca="1" t="shared" si="10"/>
        <v>1</v>
      </c>
      <c r="M95" s="29"/>
      <c r="N95" s="28" t="s">
        <v>426</v>
      </c>
      <c r="O95" s="28" t="s">
        <v>66</v>
      </c>
      <c r="P95" s="28" t="s">
        <v>55</v>
      </c>
      <c r="Q95" s="34"/>
      <c r="R95" s="28">
        <v>25</v>
      </c>
      <c r="S95" s="29">
        <v>0</v>
      </c>
      <c r="T95" s="29">
        <v>0</v>
      </c>
      <c r="U95" s="29">
        <f t="shared" si="11"/>
        <v>3</v>
      </c>
      <c r="V95" s="94" t="s">
        <v>504</v>
      </c>
    </row>
    <row r="96" spans="1:22" s="30" customFormat="1" ht="12.75">
      <c r="A96" s="24">
        <f t="shared" si="8"/>
      </c>
      <c r="B96" s="24" t="s">
        <v>52</v>
      </c>
      <c r="C96" s="29">
        <f t="shared" si="12"/>
        <v>1.5</v>
      </c>
      <c r="D96" s="29">
        <f t="shared" si="9"/>
        <v>43.5</v>
      </c>
      <c r="E96" s="29">
        <f t="shared" si="13"/>
        <v>44</v>
      </c>
      <c r="F96" s="28" t="s">
        <v>141</v>
      </c>
      <c r="G96" s="26" t="s">
        <v>32</v>
      </c>
      <c r="H96" s="26" t="s">
        <v>20</v>
      </c>
      <c r="I96" s="52" t="s">
        <v>35</v>
      </c>
      <c r="J96" s="52" t="s">
        <v>24</v>
      </c>
      <c r="K96" s="27">
        <f t="shared" si="7"/>
        <v>45</v>
      </c>
      <c r="L96" s="29">
        <f ca="1" t="shared" si="10"/>
        <v>1</v>
      </c>
      <c r="M96" s="29"/>
      <c r="N96" s="28" t="s">
        <v>59</v>
      </c>
      <c r="O96" s="28" t="s">
        <v>101</v>
      </c>
      <c r="P96" s="28" t="s">
        <v>61</v>
      </c>
      <c r="Q96" s="34" t="s">
        <v>62</v>
      </c>
      <c r="R96" s="28">
        <v>2</v>
      </c>
      <c r="S96" s="29">
        <v>1</v>
      </c>
      <c r="T96" s="29">
        <v>1</v>
      </c>
      <c r="U96" s="29">
        <f t="shared" si="11"/>
        <v>11</v>
      </c>
      <c r="V96" s="31"/>
    </row>
    <row r="97" spans="1:22" s="30" customFormat="1" ht="12.75">
      <c r="A97" s="24">
        <f t="shared" si="8"/>
      </c>
      <c r="B97" s="24" t="s">
        <v>52</v>
      </c>
      <c r="C97" s="29">
        <f t="shared" si="12"/>
        <v>1.5</v>
      </c>
      <c r="D97" s="29">
        <f t="shared" si="9"/>
        <v>48.5</v>
      </c>
      <c r="E97" s="29">
        <f>IF(AND(K97&lt;&gt;"",K97&lt;&gt;"G"),K97-L97,"--")</f>
        <v>49</v>
      </c>
      <c r="F97" s="28" t="s">
        <v>142</v>
      </c>
      <c r="G97" s="26" t="s">
        <v>32</v>
      </c>
      <c r="H97" s="26" t="s">
        <v>20</v>
      </c>
      <c r="I97" s="52" t="s">
        <v>54</v>
      </c>
      <c r="J97" s="52" t="s">
        <v>19</v>
      </c>
      <c r="K97" s="27">
        <f t="shared" si="7"/>
        <v>50</v>
      </c>
      <c r="L97" s="29">
        <f ca="1" t="shared" si="10"/>
        <v>1</v>
      </c>
      <c r="M97" s="29"/>
      <c r="N97" s="28" t="s">
        <v>118</v>
      </c>
      <c r="O97" s="28" t="s">
        <v>94</v>
      </c>
      <c r="P97" s="28" t="s">
        <v>55</v>
      </c>
      <c r="Q97" s="34" t="s">
        <v>62</v>
      </c>
      <c r="R97" s="28">
        <v>4</v>
      </c>
      <c r="S97" s="29">
        <v>5</v>
      </c>
      <c r="T97" s="29">
        <v>0</v>
      </c>
      <c r="U97" s="29">
        <f t="shared" si="11"/>
        <v>10</v>
      </c>
      <c r="V97" s="31"/>
    </row>
    <row r="98" spans="1:22" s="30" customFormat="1" ht="12.75">
      <c r="A98" s="24">
        <f t="shared" si="8"/>
      </c>
      <c r="B98" s="24" t="s">
        <v>52</v>
      </c>
      <c r="C98" s="29">
        <f t="shared" si="12"/>
        <v>1.5</v>
      </c>
      <c r="D98" s="29">
        <f t="shared" si="9"/>
        <v>13.5</v>
      </c>
      <c r="E98" s="29">
        <f t="shared" si="13"/>
        <v>14</v>
      </c>
      <c r="F98" s="28" t="s">
        <v>143</v>
      </c>
      <c r="G98" s="26" t="s">
        <v>33</v>
      </c>
      <c r="H98" s="26" t="s">
        <v>20</v>
      </c>
      <c r="I98" s="52" t="s">
        <v>54</v>
      </c>
      <c r="J98" s="52" t="s">
        <v>54</v>
      </c>
      <c r="K98" s="27">
        <f aca="true" t="shared" si="14" ref="K98:K157">IF(R98="G","G",IF(R98&gt;=5,R98+U98*5,IF((R98+U98)&lt;=5,(R98+U98),(5+5*(R98+U98-5)))))</f>
        <v>15</v>
      </c>
      <c r="L98" s="29">
        <f ca="1" t="shared" si="10"/>
        <v>1</v>
      </c>
      <c r="M98" s="29"/>
      <c r="N98" s="28" t="s">
        <v>426</v>
      </c>
      <c r="O98" s="28" t="s">
        <v>76</v>
      </c>
      <c r="P98" s="28" t="s">
        <v>105</v>
      </c>
      <c r="Q98" s="34"/>
      <c r="R98" s="28">
        <v>3</v>
      </c>
      <c r="S98" s="29">
        <v>0</v>
      </c>
      <c r="T98" s="29">
        <v>0</v>
      </c>
      <c r="U98" s="29">
        <f t="shared" si="11"/>
        <v>4</v>
      </c>
      <c r="V98" s="94" t="s">
        <v>505</v>
      </c>
    </row>
    <row r="99" spans="1:22" s="30" customFormat="1" ht="12.75">
      <c r="A99" s="24">
        <f t="shared" si="8"/>
      </c>
      <c r="B99" s="24" t="s">
        <v>52</v>
      </c>
      <c r="C99" s="29">
        <f t="shared" si="12"/>
        <v>1.5</v>
      </c>
      <c r="D99" s="29">
        <f t="shared" si="9"/>
        <v>18.5</v>
      </c>
      <c r="E99" s="29">
        <f t="shared" si="13"/>
        <v>19</v>
      </c>
      <c r="F99" s="28" t="s">
        <v>144</v>
      </c>
      <c r="G99" s="26" t="s">
        <v>33</v>
      </c>
      <c r="H99" s="26" t="s">
        <v>20</v>
      </c>
      <c r="I99" s="52" t="s">
        <v>54</v>
      </c>
      <c r="J99" s="52" t="s">
        <v>54</v>
      </c>
      <c r="K99" s="27">
        <f t="shared" si="14"/>
        <v>20</v>
      </c>
      <c r="L99" s="29">
        <f ca="1" t="shared" si="10"/>
        <v>1</v>
      </c>
      <c r="M99" s="29"/>
      <c r="N99" s="28" t="s">
        <v>59</v>
      </c>
      <c r="O99" s="28" t="s">
        <v>76</v>
      </c>
      <c r="P99" s="28" t="s">
        <v>85</v>
      </c>
      <c r="Q99" s="34"/>
      <c r="R99" s="28">
        <v>5</v>
      </c>
      <c r="S99" s="29">
        <v>0</v>
      </c>
      <c r="T99" s="29">
        <v>0</v>
      </c>
      <c r="U99" s="29">
        <f t="shared" si="11"/>
        <v>3</v>
      </c>
      <c r="V99" s="31"/>
    </row>
    <row r="100" spans="1:22" s="30" customFormat="1" ht="12.75">
      <c r="A100" s="24">
        <f t="shared" si="8"/>
      </c>
      <c r="B100" s="24" t="s">
        <v>52</v>
      </c>
      <c r="C100" s="29">
        <f t="shared" si="12"/>
        <v>1.5</v>
      </c>
      <c r="D100" s="29">
        <f t="shared" si="9"/>
        <v>43.5</v>
      </c>
      <c r="E100" s="29">
        <f t="shared" si="13"/>
        <v>44</v>
      </c>
      <c r="F100" s="28" t="s">
        <v>145</v>
      </c>
      <c r="G100" s="26" t="s">
        <v>33</v>
      </c>
      <c r="H100" s="26" t="s">
        <v>20</v>
      </c>
      <c r="I100" s="52" t="s">
        <v>54</v>
      </c>
      <c r="J100" s="52" t="s">
        <v>54</v>
      </c>
      <c r="K100" s="27">
        <f t="shared" si="14"/>
        <v>45</v>
      </c>
      <c r="L100" s="29">
        <f ca="1" t="shared" si="10"/>
        <v>1</v>
      </c>
      <c r="M100" s="29"/>
      <c r="N100" s="28" t="s">
        <v>118</v>
      </c>
      <c r="O100" s="28" t="s">
        <v>76</v>
      </c>
      <c r="P100" s="28" t="s">
        <v>85</v>
      </c>
      <c r="Q100" s="34"/>
      <c r="R100" s="28">
        <v>10</v>
      </c>
      <c r="S100" s="29">
        <v>2</v>
      </c>
      <c r="T100" s="29">
        <v>0</v>
      </c>
      <c r="U100" s="29">
        <f t="shared" si="11"/>
        <v>7</v>
      </c>
      <c r="V100" s="31"/>
    </row>
    <row r="101" spans="1:22" s="30" customFormat="1" ht="12.75">
      <c r="A101" s="24">
        <f>IF(OR(B101="Y",B101="M"),K101,"")</f>
      </c>
      <c r="B101" s="24" t="s">
        <v>52</v>
      </c>
      <c r="C101" s="29">
        <f>IF(G101="","--",(L101-Sta+Int)/2)</f>
        <v>1.5</v>
      </c>
      <c r="D101" s="29" t="str">
        <f>IF(AND(K101&lt;&gt;"",K101&lt;&gt;"G"),K101-C101,"--")</f>
        <v>--</v>
      </c>
      <c r="E101" s="29" t="str">
        <f>IF(AND(K101&lt;&gt;"",K101&lt;&gt;"G"),K101-L101,"--")</f>
        <v>--</v>
      </c>
      <c r="F101" s="50" t="s">
        <v>152</v>
      </c>
      <c r="G101" s="26" t="s">
        <v>35</v>
      </c>
      <c r="H101" s="26" t="s">
        <v>20</v>
      </c>
      <c r="I101" s="52" t="s">
        <v>54</v>
      </c>
      <c r="J101" s="52" t="s">
        <v>54</v>
      </c>
      <c r="K101" s="34" t="str">
        <f>IF(R101="G","G",IF(R101&gt;=5,R101+U101*5,IF((R101+U101)&lt;=5,(R101+U101),(5+5*(R101+U101-5)))))</f>
        <v>G</v>
      </c>
      <c r="L101" s="29">
        <f ca="1">IF(G101="","--",IF(I101="",INDIRECT(G101),MIN(INDIRECT(G101),INDIRECT(LEFT(I101,2)),INDIRECT(RIGHT(I101,2))))+IF(J101="",INDIRECT(H101),MIN(INDIRECT(H101),INDIRECT(LEFT(J101,2)),INDIRECT(RIGHT(J101,2))))+Sta+IF(M101="",0,$G$2))</f>
        <v>1</v>
      </c>
      <c r="M101" s="29"/>
      <c r="N101" s="28" t="s">
        <v>59</v>
      </c>
      <c r="O101" s="28" t="s">
        <v>89</v>
      </c>
      <c r="P101" s="28" t="s">
        <v>160</v>
      </c>
      <c r="Q101" s="34"/>
      <c r="R101" s="28" t="s">
        <v>63</v>
      </c>
      <c r="S101" s="29">
        <v>0</v>
      </c>
      <c r="T101" s="29">
        <v>0</v>
      </c>
      <c r="U101" s="29">
        <f>S101+T101+VLOOKUP(N101,Ranges,2,FALSE)+VLOOKUP(O101,Durations,2,FALSE)+VLOOKUP(P101,Targets,2,FALSE)</f>
        <v>3</v>
      </c>
      <c r="V101" s="31" t="s">
        <v>439</v>
      </c>
    </row>
    <row r="102" spans="1:22" s="30" customFormat="1" ht="12.75">
      <c r="A102" s="24">
        <f t="shared" si="8"/>
      </c>
      <c r="B102" s="24" t="s">
        <v>52</v>
      </c>
      <c r="C102" s="29">
        <f t="shared" si="12"/>
        <v>1.5</v>
      </c>
      <c r="D102" s="29">
        <f t="shared" si="9"/>
        <v>3.5</v>
      </c>
      <c r="E102" s="29">
        <f t="shared" si="13"/>
        <v>4</v>
      </c>
      <c r="F102" s="28" t="s">
        <v>146</v>
      </c>
      <c r="G102" s="26" t="s">
        <v>35</v>
      </c>
      <c r="H102" s="26" t="s">
        <v>20</v>
      </c>
      <c r="I102" s="52" t="s">
        <v>54</v>
      </c>
      <c r="J102" s="52" t="s">
        <v>54</v>
      </c>
      <c r="K102" s="27">
        <f t="shared" si="14"/>
        <v>5</v>
      </c>
      <c r="L102" s="29">
        <f ca="1" t="shared" si="10"/>
        <v>1</v>
      </c>
      <c r="M102" s="29"/>
      <c r="N102" s="28" t="s">
        <v>59</v>
      </c>
      <c r="O102" s="28" t="s">
        <v>94</v>
      </c>
      <c r="P102" s="28" t="s">
        <v>55</v>
      </c>
      <c r="Q102" s="34"/>
      <c r="R102" s="28">
        <v>2</v>
      </c>
      <c r="S102" s="29">
        <v>0</v>
      </c>
      <c r="T102" s="29">
        <v>0</v>
      </c>
      <c r="U102" s="29">
        <f t="shared" si="11"/>
        <v>3</v>
      </c>
      <c r="V102" s="31"/>
    </row>
    <row r="103" spans="1:22" s="30" customFormat="1" ht="12.75">
      <c r="A103" s="24">
        <f>IF(OR(B103="Y",B103="M"),K103,"")</f>
      </c>
      <c r="B103" s="24" t="s">
        <v>52</v>
      </c>
      <c r="C103" s="29">
        <f>IF(G103="","--",(L103-Sta+Int)/2)</f>
        <v>1.5</v>
      </c>
      <c r="D103" s="29">
        <f>IF(AND(K103&lt;&gt;"",K103&lt;&gt;"G"),K103-C103,"--")</f>
        <v>8.5</v>
      </c>
      <c r="E103" s="29">
        <f>IF(AND(K103&lt;&gt;"",K103&lt;&gt;"G"),K103-L103,"--")</f>
        <v>9</v>
      </c>
      <c r="F103" s="28" t="s">
        <v>440</v>
      </c>
      <c r="G103" s="26" t="s">
        <v>35</v>
      </c>
      <c r="H103" s="26" t="s">
        <v>20</v>
      </c>
      <c r="I103" s="52" t="s">
        <v>54</v>
      </c>
      <c r="J103" s="52" t="s">
        <v>54</v>
      </c>
      <c r="K103" s="27">
        <f>IF(R103="G","G",IF(R103&gt;=5,R103+U103*5,IF((R103+U103)&lt;=5,(R103+U103),(5+5*(R103+U103-5)))))</f>
        <v>10</v>
      </c>
      <c r="L103" s="29">
        <f ca="1">IF(G103="","--",IF(I103="",INDIRECT(G103),MIN(INDIRECT(G103),INDIRECT(LEFT(I103,2)),INDIRECT(RIGHT(I103,2))))+IF(J103="",INDIRECT(H103),MIN(INDIRECT(H103),INDIRECT(LEFT(J103,2)),INDIRECT(RIGHT(J103,2))))+Sta+IF(M103="",0,$G$2))</f>
        <v>1</v>
      </c>
      <c r="M103" s="29"/>
      <c r="N103" s="28" t="s">
        <v>93</v>
      </c>
      <c r="O103" s="28" t="s">
        <v>94</v>
      </c>
      <c r="P103" s="28" t="s">
        <v>55</v>
      </c>
      <c r="Q103" s="34"/>
      <c r="R103" s="28">
        <v>4</v>
      </c>
      <c r="S103" s="29">
        <v>0</v>
      </c>
      <c r="T103" s="29">
        <v>0</v>
      </c>
      <c r="U103" s="29">
        <f>S103+T103+VLOOKUP(N103,Ranges,2,FALSE)+VLOOKUP(O103,Durations,2,FALSE)+VLOOKUP(P103,Targets,2,FALSE)</f>
        <v>2</v>
      </c>
      <c r="V103" s="31"/>
    </row>
    <row r="104" spans="1:22" s="30" customFormat="1" ht="12.75">
      <c r="A104" s="24">
        <f>IF(OR(B104="Y",B104="M"),K104,"")</f>
      </c>
      <c r="B104" s="24" t="s">
        <v>52</v>
      </c>
      <c r="C104" s="29">
        <f>IF(G104="","--",(L104-Sta+Int)/2)</f>
        <v>1.5</v>
      </c>
      <c r="D104" s="29">
        <f>IF(AND(K104&lt;&gt;"",K104&lt;&gt;"G"),K104-C104,"--")</f>
        <v>28.5</v>
      </c>
      <c r="E104" s="29">
        <f>IF(AND(K104&lt;&gt;"",K104&lt;&gt;"G"),K104-L104,"--")</f>
        <v>29</v>
      </c>
      <c r="F104" s="28" t="s">
        <v>441</v>
      </c>
      <c r="G104" s="26" t="s">
        <v>35</v>
      </c>
      <c r="H104" s="26" t="s">
        <v>20</v>
      </c>
      <c r="I104" s="52" t="s">
        <v>54</v>
      </c>
      <c r="J104" s="52" t="s">
        <v>54</v>
      </c>
      <c r="K104" s="27">
        <f>IF(R104="G","G",IF(R104&gt;=5,R104+U104*5,IF((R104+U104)&lt;=5,(R104+U104),(5+5*(R104+U104-5)))))</f>
        <v>30</v>
      </c>
      <c r="L104" s="29">
        <f ca="1">IF(G104="","--",IF(I104="",INDIRECT(G104),MIN(INDIRECT(G104),INDIRECT(LEFT(I104,2)),INDIRECT(RIGHT(I104,2))))+IF(J104="",INDIRECT(H104),MIN(INDIRECT(H104),INDIRECT(LEFT(J104,2)),INDIRECT(RIGHT(J104,2))))+Sta+IF(M104="",0,$G$2))</f>
        <v>1</v>
      </c>
      <c r="M104" s="29"/>
      <c r="N104" s="28" t="s">
        <v>118</v>
      </c>
      <c r="O104" s="28" t="s">
        <v>66</v>
      </c>
      <c r="P104" s="28" t="s">
        <v>85</v>
      </c>
      <c r="Q104" s="34"/>
      <c r="R104" s="28">
        <v>4</v>
      </c>
      <c r="S104" s="29">
        <v>0</v>
      </c>
      <c r="T104" s="29">
        <v>0</v>
      </c>
      <c r="U104" s="29">
        <f>S104+T104+VLOOKUP(N104,Ranges,2,FALSE)+VLOOKUP(O104,Durations,2,FALSE)+VLOOKUP(P104,Targets,2,FALSE)</f>
        <v>6</v>
      </c>
      <c r="V104" s="31"/>
    </row>
    <row r="105" spans="1:22" s="30" customFormat="1" ht="12.75">
      <c r="A105" s="24">
        <f>IF(OR(B105="Y",B105="M"),K105,"")</f>
      </c>
      <c r="B105" s="24" t="s">
        <v>52</v>
      </c>
      <c r="C105" s="29">
        <f>IF(G105="","--",(L105-Sta+Int)/2)</f>
        <v>1.5</v>
      </c>
      <c r="D105" s="29">
        <f>IF(AND(K105&lt;&gt;"",K105&lt;&gt;"G"),K105-C105,"--")</f>
        <v>38.5</v>
      </c>
      <c r="E105" s="29">
        <f>IF(AND(K105&lt;&gt;"",K105&lt;&gt;"G"),K105-L105,"--")</f>
        <v>39</v>
      </c>
      <c r="F105" s="28" t="s">
        <v>150</v>
      </c>
      <c r="G105" s="26" t="s">
        <v>35</v>
      </c>
      <c r="H105" s="26" t="s">
        <v>20</v>
      </c>
      <c r="I105" s="52" t="s">
        <v>54</v>
      </c>
      <c r="J105" s="52" t="s">
        <v>54</v>
      </c>
      <c r="K105" s="27">
        <f>IF(R105="G","G",IF(R105&gt;=5,R105+U105*5,IF((R105+U105)&lt;=5,(R105+U105),(5+5*(R105+U105-5)))))</f>
        <v>40</v>
      </c>
      <c r="L105" s="29">
        <f ca="1">IF(G105="","--",IF(I105="",INDIRECT(G105),MIN(INDIRECT(G105),INDIRECT(LEFT(I105,2)),INDIRECT(RIGHT(I105,2))))+IF(J105="",INDIRECT(H105),MIN(INDIRECT(H105),INDIRECT(LEFT(J105,2)),INDIRECT(RIGHT(J105,2))))+Sta+IF(M105="",0,$G$2))</f>
        <v>1</v>
      </c>
      <c r="M105" s="29"/>
      <c r="N105" s="28" t="s">
        <v>118</v>
      </c>
      <c r="O105" s="28" t="s">
        <v>66</v>
      </c>
      <c r="P105" s="28" t="s">
        <v>85</v>
      </c>
      <c r="Q105" s="34"/>
      <c r="R105" s="28">
        <v>4</v>
      </c>
      <c r="S105" s="29">
        <v>2</v>
      </c>
      <c r="T105" s="29">
        <v>0</v>
      </c>
      <c r="U105" s="29">
        <f>S105+T105+VLOOKUP(N105,Ranges,2,FALSE)+VLOOKUP(O105,Durations,2,FALSE)+VLOOKUP(P105,Targets,2,FALSE)</f>
        <v>8</v>
      </c>
      <c r="V105" s="31"/>
    </row>
    <row r="106" spans="1:22" s="30" customFormat="1" ht="12.75">
      <c r="A106" s="24">
        <f t="shared" si="8"/>
      </c>
      <c r="B106" s="24" t="s">
        <v>52</v>
      </c>
      <c r="C106" s="29">
        <f t="shared" si="12"/>
        <v>1.5</v>
      </c>
      <c r="D106" s="29">
        <f t="shared" si="9"/>
        <v>8.5</v>
      </c>
      <c r="E106" s="29">
        <f t="shared" si="13"/>
        <v>9</v>
      </c>
      <c r="F106" s="28" t="s">
        <v>153</v>
      </c>
      <c r="G106" s="26" t="s">
        <v>29</v>
      </c>
      <c r="H106" s="26" t="s">
        <v>21</v>
      </c>
      <c r="I106" s="52" t="s">
        <v>54</v>
      </c>
      <c r="J106" s="52" t="s">
        <v>54</v>
      </c>
      <c r="K106" s="27">
        <f t="shared" si="14"/>
        <v>10</v>
      </c>
      <c r="L106" s="29">
        <f ca="1" t="shared" si="10"/>
        <v>1</v>
      </c>
      <c r="M106" s="29"/>
      <c r="N106" s="28" t="s">
        <v>59</v>
      </c>
      <c r="O106" s="28" t="s">
        <v>94</v>
      </c>
      <c r="P106" s="28" t="s">
        <v>55</v>
      </c>
      <c r="Q106" s="34"/>
      <c r="R106" s="28">
        <v>3</v>
      </c>
      <c r="S106" s="29">
        <v>0</v>
      </c>
      <c r="T106" s="29">
        <v>0</v>
      </c>
      <c r="U106" s="29">
        <f t="shared" si="11"/>
        <v>3</v>
      </c>
      <c r="V106" s="31"/>
    </row>
    <row r="107" spans="1:22" s="30" customFormat="1" ht="12.75">
      <c r="A107" s="24">
        <f t="shared" si="8"/>
      </c>
      <c r="B107" s="24" t="s">
        <v>52</v>
      </c>
      <c r="C107" s="29">
        <f t="shared" si="12"/>
        <v>1.5</v>
      </c>
      <c r="D107" s="29">
        <f t="shared" si="9"/>
        <v>8.5</v>
      </c>
      <c r="E107" s="29">
        <f t="shared" si="13"/>
        <v>9</v>
      </c>
      <c r="F107" s="28" t="s">
        <v>154</v>
      </c>
      <c r="G107" s="26" t="s">
        <v>29</v>
      </c>
      <c r="H107" s="26" t="s">
        <v>21</v>
      </c>
      <c r="I107" s="52" t="s">
        <v>54</v>
      </c>
      <c r="J107" s="52" t="s">
        <v>54</v>
      </c>
      <c r="K107" s="27">
        <f t="shared" si="14"/>
        <v>10</v>
      </c>
      <c r="L107" s="29">
        <f ca="1" t="shared" si="10"/>
        <v>1</v>
      </c>
      <c r="M107" s="29"/>
      <c r="N107" s="28" t="s">
        <v>59</v>
      </c>
      <c r="O107" s="28" t="s">
        <v>60</v>
      </c>
      <c r="P107" s="28" t="s">
        <v>55</v>
      </c>
      <c r="Q107" s="34"/>
      <c r="R107" s="28">
        <v>2</v>
      </c>
      <c r="S107" s="29">
        <v>0</v>
      </c>
      <c r="T107" s="29">
        <v>0</v>
      </c>
      <c r="U107" s="29">
        <f t="shared" si="11"/>
        <v>4</v>
      </c>
      <c r="V107" s="31"/>
    </row>
    <row r="108" spans="1:22" s="30" customFormat="1" ht="12.75">
      <c r="A108" s="24">
        <f>IF(OR(B108="Y",B108="M"),K108,"")</f>
      </c>
      <c r="B108" s="24" t="s">
        <v>52</v>
      </c>
      <c r="C108" s="29">
        <f>IF(G108="","--",(L108-Sta+Int)/2)</f>
        <v>1.5</v>
      </c>
      <c r="D108" s="29">
        <f>IF(AND(K108&lt;&gt;"",K108&lt;&gt;"G"),K108-C108,"--")</f>
        <v>18.5</v>
      </c>
      <c r="E108" s="29">
        <f>IF(AND(K108&lt;&gt;"",K108&lt;&gt;"G"),K108-L108,"--")</f>
        <v>19</v>
      </c>
      <c r="F108" s="28" t="s">
        <v>156</v>
      </c>
      <c r="G108" s="26" t="s">
        <v>29</v>
      </c>
      <c r="H108" s="26" t="s">
        <v>21</v>
      </c>
      <c r="I108" s="52" t="s">
        <v>54</v>
      </c>
      <c r="J108" s="52" t="s">
        <v>54</v>
      </c>
      <c r="K108" s="27">
        <f>IF(R108="G","G",IF(R108&gt;=5,R108+U108*5,IF((R108+U108)&lt;=5,(R108+U108),(5+5*(R108+U108-5)))))</f>
        <v>20</v>
      </c>
      <c r="L108" s="29">
        <f ca="1">IF(G108="","--",IF(I108="",INDIRECT(G108),MIN(INDIRECT(G108),INDIRECT(LEFT(I108,2)),INDIRECT(RIGHT(I108,2))))+IF(J108="",INDIRECT(H108),MIN(INDIRECT(H108),INDIRECT(LEFT(J108,2)),INDIRECT(RIGHT(J108,2))))+Sta+IF(M108="",0,$G$2))</f>
        <v>1</v>
      </c>
      <c r="M108" s="29"/>
      <c r="N108" s="28" t="s">
        <v>59</v>
      </c>
      <c r="O108" s="28" t="s">
        <v>76</v>
      </c>
      <c r="P108" s="28" t="s">
        <v>55</v>
      </c>
      <c r="Q108" s="34" t="s">
        <v>62</v>
      </c>
      <c r="R108" s="28">
        <v>15</v>
      </c>
      <c r="S108" s="29">
        <v>0</v>
      </c>
      <c r="T108" s="29">
        <v>0</v>
      </c>
      <c r="U108" s="29">
        <f>S108+T108+VLOOKUP(N108,Ranges,2,FALSE)+VLOOKUP(O108,Durations,2,FALSE)+VLOOKUP(P108,Targets,2,FALSE)</f>
        <v>1</v>
      </c>
      <c r="V108" s="31" t="s">
        <v>506</v>
      </c>
    </row>
    <row r="109" spans="1:22" s="30" customFormat="1" ht="12.75">
      <c r="A109" s="24">
        <f t="shared" si="8"/>
      </c>
      <c r="B109" s="24" t="s">
        <v>52</v>
      </c>
      <c r="C109" s="29">
        <f t="shared" si="12"/>
        <v>1.5</v>
      </c>
      <c r="D109" s="29">
        <f t="shared" si="9"/>
        <v>18.5</v>
      </c>
      <c r="E109" s="29">
        <f t="shared" si="13"/>
        <v>19</v>
      </c>
      <c r="F109" s="28" t="s">
        <v>155</v>
      </c>
      <c r="G109" s="26" t="s">
        <v>29</v>
      </c>
      <c r="H109" s="26" t="s">
        <v>21</v>
      </c>
      <c r="I109" s="52" t="s">
        <v>54</v>
      </c>
      <c r="J109" s="52" t="s">
        <v>54</v>
      </c>
      <c r="K109" s="27">
        <f t="shared" si="14"/>
        <v>20</v>
      </c>
      <c r="L109" s="29">
        <f ca="1" t="shared" si="10"/>
        <v>1</v>
      </c>
      <c r="M109" s="29"/>
      <c r="N109" s="28" t="s">
        <v>59</v>
      </c>
      <c r="O109" s="28" t="s">
        <v>76</v>
      </c>
      <c r="P109" s="28" t="s">
        <v>55</v>
      </c>
      <c r="Q109" s="34" t="s">
        <v>62</v>
      </c>
      <c r="R109" s="28">
        <v>15</v>
      </c>
      <c r="S109" s="29">
        <v>0</v>
      </c>
      <c r="T109" s="29">
        <v>0</v>
      </c>
      <c r="U109" s="29">
        <f t="shared" si="11"/>
        <v>1</v>
      </c>
      <c r="V109" s="31" t="s">
        <v>507</v>
      </c>
    </row>
    <row r="110" spans="1:22" s="30" customFormat="1" ht="12.75">
      <c r="A110" s="24">
        <f>IF(OR(B110="Y",B110="M"),K110,"")</f>
      </c>
      <c r="B110" s="24" t="s">
        <v>52</v>
      </c>
      <c r="C110" s="29">
        <f>IF(G110="","--",(L110-Sta+Int)/2)</f>
        <v>1.5</v>
      </c>
      <c r="D110" s="29">
        <f>IF(AND(K110&lt;&gt;"",K110&lt;&gt;"G"),K110-C110,"--")</f>
        <v>18.5</v>
      </c>
      <c r="E110" s="29">
        <f>IF(AND(K110&lt;&gt;"",K110&lt;&gt;"G"),K110-L110,"--")</f>
        <v>19</v>
      </c>
      <c r="F110" s="28" t="s">
        <v>442</v>
      </c>
      <c r="G110" s="26" t="s">
        <v>29</v>
      </c>
      <c r="H110" s="26" t="s">
        <v>21</v>
      </c>
      <c r="I110" s="52" t="s">
        <v>54</v>
      </c>
      <c r="J110" s="52" t="s">
        <v>54</v>
      </c>
      <c r="K110" s="27">
        <f>IF(R110="G","G",IF(R110&gt;=5,R110+U110*5,IF((R110+U110)&lt;=5,(R110+U110),(5+5*(R110+U110-5)))))</f>
        <v>20</v>
      </c>
      <c r="L110" s="29">
        <f ca="1">IF(G110="","--",IF(I110="",INDIRECT(G110),MIN(INDIRECT(G110),INDIRECT(LEFT(I110,2)),INDIRECT(RIGHT(I110,2))))+IF(J110="",INDIRECT(H110),MIN(INDIRECT(H110),INDIRECT(LEFT(J110,2)),INDIRECT(RIGHT(J110,2))))+Sta+IF(M110="",0,$G$2))</f>
        <v>1</v>
      </c>
      <c r="M110" s="29"/>
      <c r="N110" s="28" t="s">
        <v>59</v>
      </c>
      <c r="O110" s="28" t="s">
        <v>60</v>
      </c>
      <c r="P110" s="28" t="s">
        <v>55</v>
      </c>
      <c r="Q110" s="34"/>
      <c r="R110" s="28">
        <v>4</v>
      </c>
      <c r="S110" s="29">
        <v>0</v>
      </c>
      <c r="T110" s="29">
        <v>0</v>
      </c>
      <c r="U110" s="29">
        <f>S110+T110+VLOOKUP(N110,Ranges,2,FALSE)+VLOOKUP(O110,Durations,2,FALSE)+VLOOKUP(P110,Targets,2,FALSE)</f>
        <v>4</v>
      </c>
      <c r="V110" s="94" t="s">
        <v>508</v>
      </c>
    </row>
    <row r="111" spans="1:22" s="30" customFormat="1" ht="12.75">
      <c r="A111" s="24">
        <f t="shared" si="8"/>
      </c>
      <c r="B111" s="24" t="s">
        <v>52</v>
      </c>
      <c r="C111" s="29">
        <f t="shared" si="12"/>
        <v>1.5</v>
      </c>
      <c r="D111" s="29">
        <f t="shared" si="9"/>
        <v>23.5</v>
      </c>
      <c r="E111" s="29">
        <f t="shared" si="13"/>
        <v>24</v>
      </c>
      <c r="F111" s="28" t="s">
        <v>157</v>
      </c>
      <c r="G111" s="26" t="s">
        <v>29</v>
      </c>
      <c r="H111" s="26" t="s">
        <v>21</v>
      </c>
      <c r="I111" s="52" t="s">
        <v>54</v>
      </c>
      <c r="J111" s="52" t="s">
        <v>54</v>
      </c>
      <c r="K111" s="27">
        <f t="shared" si="14"/>
        <v>25</v>
      </c>
      <c r="L111" s="29">
        <f ca="1" t="shared" si="10"/>
        <v>1</v>
      </c>
      <c r="M111" s="29"/>
      <c r="N111" s="28" t="s">
        <v>59</v>
      </c>
      <c r="O111" s="28" t="s">
        <v>76</v>
      </c>
      <c r="P111" s="28" t="s">
        <v>55</v>
      </c>
      <c r="Q111" s="34" t="s">
        <v>62</v>
      </c>
      <c r="R111" s="28">
        <v>20</v>
      </c>
      <c r="S111" s="29">
        <v>0</v>
      </c>
      <c r="T111" s="29">
        <v>0</v>
      </c>
      <c r="U111" s="29">
        <f t="shared" si="11"/>
        <v>1</v>
      </c>
      <c r="V111" s="31" t="s">
        <v>509</v>
      </c>
    </row>
    <row r="112" spans="1:22" s="30" customFormat="1" ht="12.75">
      <c r="A112" s="24">
        <f t="shared" si="8"/>
      </c>
      <c r="B112" s="24" t="s">
        <v>52</v>
      </c>
      <c r="C112" s="29">
        <f t="shared" si="12"/>
        <v>1.5</v>
      </c>
      <c r="D112" s="29">
        <f t="shared" si="9"/>
        <v>23.5</v>
      </c>
      <c r="E112" s="29">
        <f t="shared" si="13"/>
        <v>24</v>
      </c>
      <c r="F112" s="28" t="s">
        <v>158</v>
      </c>
      <c r="G112" s="26" t="s">
        <v>29</v>
      </c>
      <c r="H112" s="26" t="s">
        <v>21</v>
      </c>
      <c r="I112" s="52" t="s">
        <v>54</v>
      </c>
      <c r="J112" s="52" t="s">
        <v>54</v>
      </c>
      <c r="K112" s="27">
        <f t="shared" si="14"/>
        <v>25</v>
      </c>
      <c r="L112" s="29">
        <f ca="1" t="shared" si="10"/>
        <v>1</v>
      </c>
      <c r="M112" s="29"/>
      <c r="N112" s="28" t="s">
        <v>59</v>
      </c>
      <c r="O112" s="28" t="s">
        <v>76</v>
      </c>
      <c r="P112" s="28" t="s">
        <v>55</v>
      </c>
      <c r="Q112" s="34" t="s">
        <v>62</v>
      </c>
      <c r="R112" s="28">
        <v>25</v>
      </c>
      <c r="S112" s="29">
        <v>0</v>
      </c>
      <c r="T112" s="29">
        <v>-1</v>
      </c>
      <c r="U112" s="29">
        <f t="shared" si="11"/>
        <v>0</v>
      </c>
      <c r="V112" s="31"/>
    </row>
    <row r="113" spans="1:22" s="30" customFormat="1" ht="12.75">
      <c r="A113" s="24">
        <f>IF(OR(B113="Y",B113="M"),K113,"")</f>
      </c>
      <c r="B113" s="24" t="s">
        <v>52</v>
      </c>
      <c r="C113" s="29">
        <f>IF(G113="","--",(L113-Sta+Int)/2)</f>
        <v>1.5</v>
      </c>
      <c r="D113" s="29">
        <f>IF(AND(K113&lt;&gt;"",K113&lt;&gt;"G"),K113-C113,"--")</f>
        <v>28.5</v>
      </c>
      <c r="E113" s="29">
        <f>IF(AND(K113&lt;&gt;"",K113&lt;&gt;"G"),K113-L113,"--")</f>
        <v>29</v>
      </c>
      <c r="F113" s="28" t="s">
        <v>443</v>
      </c>
      <c r="G113" s="26" t="s">
        <v>29</v>
      </c>
      <c r="H113" s="26" t="s">
        <v>21</v>
      </c>
      <c r="I113" s="52" t="s">
        <v>54</v>
      </c>
      <c r="J113" s="52" t="s">
        <v>54</v>
      </c>
      <c r="K113" s="27">
        <f>IF(R113="G","G",IF(R113&gt;=5,R113+U113*5,IF((R113+U113)&lt;=5,(R113+U113),(5+5*(R113+U113-5)))))</f>
        <v>30</v>
      </c>
      <c r="L113" s="29">
        <f ca="1">IF(G113="","--",IF(I113="",INDIRECT(G113),MIN(INDIRECT(G113),INDIRECT(LEFT(I113,2)),INDIRECT(RIGHT(I113,2))))+IF(J113="",INDIRECT(H113),MIN(INDIRECT(H113),INDIRECT(LEFT(J113,2)),INDIRECT(RIGHT(J113,2))))+Sta+IF(M113="",0,$G$2))</f>
        <v>1</v>
      </c>
      <c r="M113" s="29"/>
      <c r="N113" s="28" t="s">
        <v>59</v>
      </c>
      <c r="O113" s="28" t="s">
        <v>76</v>
      </c>
      <c r="P113" s="28" t="s">
        <v>55</v>
      </c>
      <c r="Q113" s="34" t="s">
        <v>62</v>
      </c>
      <c r="R113" s="28">
        <v>25</v>
      </c>
      <c r="S113" s="29">
        <v>0</v>
      </c>
      <c r="T113" s="29">
        <v>0</v>
      </c>
      <c r="U113" s="29">
        <f>S113+T113+VLOOKUP(N113,Ranges,2,FALSE)+VLOOKUP(O113,Durations,2,FALSE)+VLOOKUP(P113,Targets,2,FALSE)</f>
        <v>1</v>
      </c>
      <c r="V113" s="31" t="s">
        <v>510</v>
      </c>
    </row>
    <row r="114" spans="1:22" s="30" customFormat="1" ht="12.75">
      <c r="A114" s="24">
        <f t="shared" si="8"/>
      </c>
      <c r="B114" s="24" t="s">
        <v>52</v>
      </c>
      <c r="C114" s="29">
        <f t="shared" si="12"/>
        <v>1.5</v>
      </c>
      <c r="D114" s="29">
        <f t="shared" si="9"/>
        <v>38.5</v>
      </c>
      <c r="E114" s="29">
        <f t="shared" si="13"/>
        <v>39</v>
      </c>
      <c r="F114" s="28" t="s">
        <v>159</v>
      </c>
      <c r="G114" s="26" t="s">
        <v>29</v>
      </c>
      <c r="H114" s="26" t="s">
        <v>21</v>
      </c>
      <c r="I114" s="52" t="s">
        <v>54</v>
      </c>
      <c r="J114" s="52" t="s">
        <v>54</v>
      </c>
      <c r="K114" s="27">
        <f t="shared" si="14"/>
        <v>40</v>
      </c>
      <c r="L114" s="29">
        <f ca="1" t="shared" si="10"/>
        <v>1</v>
      </c>
      <c r="M114" s="29"/>
      <c r="N114" s="28" t="s">
        <v>59</v>
      </c>
      <c r="O114" s="28" t="s">
        <v>76</v>
      </c>
      <c r="P114" s="28" t="s">
        <v>55</v>
      </c>
      <c r="Q114" s="34" t="s">
        <v>62</v>
      </c>
      <c r="R114" s="28">
        <v>35</v>
      </c>
      <c r="S114" s="29">
        <v>0</v>
      </c>
      <c r="T114" s="29">
        <v>0</v>
      </c>
      <c r="U114" s="29">
        <f t="shared" si="11"/>
        <v>1</v>
      </c>
      <c r="V114" s="31" t="s">
        <v>511</v>
      </c>
    </row>
    <row r="115" spans="1:22" s="30" customFormat="1" ht="12.75">
      <c r="A115" s="24">
        <f t="shared" si="8"/>
      </c>
      <c r="B115" s="24" t="s">
        <v>52</v>
      </c>
      <c r="C115" s="29">
        <f t="shared" si="12"/>
        <v>1.5</v>
      </c>
      <c r="D115" s="29">
        <f t="shared" si="9"/>
        <v>73.5</v>
      </c>
      <c r="E115" s="29">
        <f t="shared" si="13"/>
        <v>74</v>
      </c>
      <c r="F115" s="28" t="s">
        <v>161</v>
      </c>
      <c r="G115" s="26" t="s">
        <v>29</v>
      </c>
      <c r="H115" s="26" t="s">
        <v>21</v>
      </c>
      <c r="I115" s="52" t="s">
        <v>54</v>
      </c>
      <c r="J115" s="52" t="s">
        <v>25</v>
      </c>
      <c r="K115" s="27">
        <f t="shared" si="14"/>
        <v>75</v>
      </c>
      <c r="L115" s="29">
        <f ca="1" t="shared" si="10"/>
        <v>1</v>
      </c>
      <c r="M115" s="29"/>
      <c r="N115" s="28" t="s">
        <v>59</v>
      </c>
      <c r="O115" s="28" t="s">
        <v>76</v>
      </c>
      <c r="P115" s="28" t="s">
        <v>55</v>
      </c>
      <c r="Q115" s="34" t="s">
        <v>62</v>
      </c>
      <c r="R115" s="28">
        <v>70</v>
      </c>
      <c r="S115" s="29">
        <v>0</v>
      </c>
      <c r="T115" s="29">
        <v>0</v>
      </c>
      <c r="U115" s="29">
        <f t="shared" si="11"/>
        <v>1</v>
      </c>
      <c r="V115" s="31" t="s">
        <v>512</v>
      </c>
    </row>
    <row r="116" spans="1:22" s="30" customFormat="1" ht="12.75">
      <c r="A116" s="24">
        <f>IF(OR(B116="Y",B116="M"),K116,"")</f>
      </c>
      <c r="B116" s="24" t="s">
        <v>52</v>
      </c>
      <c r="C116" s="29">
        <f>IF(G116="","--",(L116-Sta+Int)/2)</f>
        <v>1.5</v>
      </c>
      <c r="D116" s="29" t="str">
        <f>IF(AND(K116&lt;&gt;"",K116&lt;&gt;"G"),K116-C116,"--")</f>
        <v>--</v>
      </c>
      <c r="E116" s="29" t="str">
        <f>IF(AND(K116&lt;&gt;"",K116&lt;&gt;"G"),K116-L116,"--")</f>
        <v>--</v>
      </c>
      <c r="F116" s="50" t="s">
        <v>166</v>
      </c>
      <c r="G116" s="26" t="s">
        <v>30</v>
      </c>
      <c r="H116" s="26" t="s">
        <v>21</v>
      </c>
      <c r="I116" s="52" t="s">
        <v>54</v>
      </c>
      <c r="J116" s="52" t="s">
        <v>54</v>
      </c>
      <c r="K116" s="34" t="str">
        <f>IF(R116="G","G",IF(R116&gt;=5,R116+U116*5,IF((R116+U116)&lt;=5,(R116+U116),(5+5*(R116+U116-5)))))</f>
        <v>G</v>
      </c>
      <c r="L116" s="29">
        <f ca="1">IF(G116="","--",IF(I116="",INDIRECT(G116),MIN(INDIRECT(G116),INDIRECT(LEFT(I116,2)),INDIRECT(RIGHT(I116,2))))+IF(J116="",INDIRECT(H116),MIN(INDIRECT(H116),INDIRECT(LEFT(J116,2)),INDIRECT(RIGHT(J116,2))))+Sta+IF(M116="",0,$G$2))</f>
        <v>1</v>
      </c>
      <c r="M116" s="29"/>
      <c r="N116" s="28" t="s">
        <v>93</v>
      </c>
      <c r="O116" s="28" t="s">
        <v>76</v>
      </c>
      <c r="P116" s="28" t="s">
        <v>431</v>
      </c>
      <c r="Q116" s="34"/>
      <c r="R116" s="28" t="s">
        <v>63</v>
      </c>
      <c r="S116" s="29">
        <v>0</v>
      </c>
      <c r="T116" s="29">
        <v>0</v>
      </c>
      <c r="U116" s="29">
        <f>S116+T116+VLOOKUP(N116,Ranges,2,FALSE)+VLOOKUP(O116,Durations,2,FALSE)+VLOOKUP(P116,Targets,2,FALSE)</f>
        <v>4</v>
      </c>
      <c r="V116" s="31" t="s">
        <v>513</v>
      </c>
    </row>
    <row r="117" spans="1:22" s="30" customFormat="1" ht="12.75">
      <c r="A117" s="24">
        <f t="shared" si="8"/>
      </c>
      <c r="B117" s="24" t="s">
        <v>52</v>
      </c>
      <c r="C117" s="29">
        <f t="shared" si="12"/>
        <v>1.5</v>
      </c>
      <c r="D117" s="29">
        <f t="shared" si="9"/>
        <v>3.5</v>
      </c>
      <c r="E117" s="29">
        <f t="shared" si="13"/>
        <v>4</v>
      </c>
      <c r="F117" s="28" t="s">
        <v>162</v>
      </c>
      <c r="G117" s="26" t="s">
        <v>30</v>
      </c>
      <c r="H117" s="26" t="s">
        <v>21</v>
      </c>
      <c r="I117" s="52" t="s">
        <v>54</v>
      </c>
      <c r="J117" s="52" t="s">
        <v>54</v>
      </c>
      <c r="K117" s="27">
        <f t="shared" si="14"/>
        <v>5</v>
      </c>
      <c r="L117" s="29">
        <f ca="1" t="shared" si="10"/>
        <v>1</v>
      </c>
      <c r="M117" s="29"/>
      <c r="N117" s="28" t="s">
        <v>59</v>
      </c>
      <c r="O117" s="28" t="s">
        <v>76</v>
      </c>
      <c r="P117" s="28" t="s">
        <v>55</v>
      </c>
      <c r="Q117" s="34"/>
      <c r="R117" s="28">
        <v>4</v>
      </c>
      <c r="S117" s="29">
        <v>0</v>
      </c>
      <c r="T117" s="29">
        <v>0</v>
      </c>
      <c r="U117" s="29">
        <f t="shared" si="11"/>
        <v>1</v>
      </c>
      <c r="V117" s="31"/>
    </row>
    <row r="118" spans="1:22" s="30" customFormat="1" ht="12.75">
      <c r="A118" s="24">
        <f t="shared" si="8"/>
      </c>
      <c r="B118" s="24" t="s">
        <v>52</v>
      </c>
      <c r="C118" s="29">
        <f t="shared" si="12"/>
        <v>1.5</v>
      </c>
      <c r="D118" s="29">
        <f t="shared" si="9"/>
        <v>8.5</v>
      </c>
      <c r="E118" s="29">
        <f t="shared" si="13"/>
        <v>9</v>
      </c>
      <c r="F118" s="28" t="s">
        <v>163</v>
      </c>
      <c r="G118" s="26" t="s">
        <v>30</v>
      </c>
      <c r="H118" s="26" t="s">
        <v>21</v>
      </c>
      <c r="I118" s="52" t="s">
        <v>54</v>
      </c>
      <c r="J118" s="52" t="s">
        <v>54</v>
      </c>
      <c r="K118" s="27">
        <f t="shared" si="14"/>
        <v>10</v>
      </c>
      <c r="L118" s="29">
        <f ca="1" t="shared" si="10"/>
        <v>1</v>
      </c>
      <c r="M118" s="29"/>
      <c r="N118" s="28" t="s">
        <v>59</v>
      </c>
      <c r="O118" s="28" t="s">
        <v>76</v>
      </c>
      <c r="P118" s="28" t="s">
        <v>55</v>
      </c>
      <c r="Q118" s="34"/>
      <c r="R118" s="28">
        <v>5</v>
      </c>
      <c r="S118" s="29">
        <v>0</v>
      </c>
      <c r="T118" s="29">
        <v>0</v>
      </c>
      <c r="U118" s="29">
        <f t="shared" si="11"/>
        <v>1</v>
      </c>
      <c r="V118" s="31"/>
    </row>
    <row r="119" spans="1:22" s="30" customFormat="1" ht="12.75">
      <c r="A119" s="24">
        <f t="shared" si="8"/>
      </c>
      <c r="B119" s="24" t="s">
        <v>52</v>
      </c>
      <c r="C119" s="29">
        <f t="shared" si="12"/>
        <v>1.5</v>
      </c>
      <c r="D119" s="29">
        <f t="shared" si="9"/>
        <v>13.5</v>
      </c>
      <c r="E119" s="29">
        <f t="shared" si="13"/>
        <v>14</v>
      </c>
      <c r="F119" s="28" t="s">
        <v>444</v>
      </c>
      <c r="G119" s="26" t="s">
        <v>30</v>
      </c>
      <c r="H119" s="26" t="s">
        <v>21</v>
      </c>
      <c r="I119" s="52" t="s">
        <v>54</v>
      </c>
      <c r="J119" s="52" t="s">
        <v>25</v>
      </c>
      <c r="K119" s="27">
        <f t="shared" si="14"/>
        <v>15</v>
      </c>
      <c r="L119" s="29">
        <f ca="1" t="shared" si="10"/>
        <v>1</v>
      </c>
      <c r="M119" s="29"/>
      <c r="N119" s="28" t="s">
        <v>59</v>
      </c>
      <c r="O119" s="28" t="s">
        <v>66</v>
      </c>
      <c r="P119" s="28" t="s">
        <v>55</v>
      </c>
      <c r="Q119" s="34"/>
      <c r="R119" s="28">
        <v>5</v>
      </c>
      <c r="S119" s="29">
        <v>0</v>
      </c>
      <c r="T119" s="29">
        <v>0</v>
      </c>
      <c r="U119" s="29">
        <f t="shared" si="11"/>
        <v>2</v>
      </c>
      <c r="V119" s="31"/>
    </row>
    <row r="120" spans="1:22" s="30" customFormat="1" ht="12.75">
      <c r="A120" s="24">
        <f t="shared" si="8"/>
      </c>
      <c r="B120" s="24" t="s">
        <v>52</v>
      </c>
      <c r="C120" s="29">
        <f t="shared" si="12"/>
        <v>1.5</v>
      </c>
      <c r="D120" s="29">
        <f t="shared" si="9"/>
        <v>18.5</v>
      </c>
      <c r="E120" s="29">
        <f t="shared" si="13"/>
        <v>19</v>
      </c>
      <c r="F120" s="28" t="s">
        <v>164</v>
      </c>
      <c r="G120" s="26" t="s">
        <v>30</v>
      </c>
      <c r="H120" s="26" t="s">
        <v>21</v>
      </c>
      <c r="I120" s="52" t="s">
        <v>54</v>
      </c>
      <c r="J120" s="52" t="s">
        <v>54</v>
      </c>
      <c r="K120" s="27">
        <f t="shared" si="14"/>
        <v>20</v>
      </c>
      <c r="L120" s="29">
        <f ca="1" t="shared" si="10"/>
        <v>1</v>
      </c>
      <c r="M120" s="29"/>
      <c r="N120" s="28" t="s">
        <v>65</v>
      </c>
      <c r="O120" s="28" t="s">
        <v>66</v>
      </c>
      <c r="P120" s="28" t="s">
        <v>55</v>
      </c>
      <c r="Q120" s="34"/>
      <c r="R120" s="28">
        <v>3</v>
      </c>
      <c r="S120" s="29">
        <v>0</v>
      </c>
      <c r="T120" s="29">
        <v>0</v>
      </c>
      <c r="U120" s="29">
        <f t="shared" si="11"/>
        <v>5</v>
      </c>
      <c r="V120" s="31"/>
    </row>
    <row r="121" spans="1:22" s="30" customFormat="1" ht="12.75">
      <c r="A121" s="24">
        <f t="shared" si="8"/>
      </c>
      <c r="B121" s="24" t="s">
        <v>52</v>
      </c>
      <c r="C121" s="29">
        <f t="shared" si="12"/>
        <v>1.5</v>
      </c>
      <c r="D121" s="29">
        <f t="shared" si="9"/>
        <v>28.5</v>
      </c>
      <c r="E121" s="29">
        <f t="shared" si="13"/>
        <v>29</v>
      </c>
      <c r="F121" s="28" t="s">
        <v>165</v>
      </c>
      <c r="G121" s="26" t="s">
        <v>30</v>
      </c>
      <c r="H121" s="26" t="s">
        <v>21</v>
      </c>
      <c r="I121" s="52" t="s">
        <v>54</v>
      </c>
      <c r="J121" s="52" t="s">
        <v>24</v>
      </c>
      <c r="K121" s="27">
        <f t="shared" si="14"/>
        <v>30</v>
      </c>
      <c r="L121" s="29">
        <f ca="1" t="shared" si="10"/>
        <v>1</v>
      </c>
      <c r="M121" s="29"/>
      <c r="N121" s="28" t="s">
        <v>65</v>
      </c>
      <c r="O121" s="28" t="s">
        <v>66</v>
      </c>
      <c r="P121" s="28" t="s">
        <v>55</v>
      </c>
      <c r="Q121" s="34"/>
      <c r="R121" s="28">
        <v>4</v>
      </c>
      <c r="S121" s="29">
        <v>0</v>
      </c>
      <c r="T121" s="29">
        <v>1</v>
      </c>
      <c r="U121" s="29">
        <f t="shared" si="11"/>
        <v>6</v>
      </c>
      <c r="V121" s="31"/>
    </row>
    <row r="122" spans="1:22" s="30" customFormat="1" ht="12.75">
      <c r="A122" s="24">
        <f t="shared" si="8"/>
      </c>
      <c r="B122" s="24" t="s">
        <v>52</v>
      </c>
      <c r="C122" s="29">
        <f t="shared" si="12"/>
        <v>1.5</v>
      </c>
      <c r="D122" s="29">
        <f t="shared" si="9"/>
        <v>3.5</v>
      </c>
      <c r="E122" s="29">
        <f t="shared" si="13"/>
        <v>4</v>
      </c>
      <c r="F122" s="28" t="s">
        <v>167</v>
      </c>
      <c r="G122" s="26" t="s">
        <v>32</v>
      </c>
      <c r="H122" s="26" t="s">
        <v>21</v>
      </c>
      <c r="I122" s="52" t="s">
        <v>54</v>
      </c>
      <c r="J122" s="52" t="s">
        <v>18</v>
      </c>
      <c r="K122" s="27">
        <f t="shared" si="14"/>
        <v>5</v>
      </c>
      <c r="L122" s="29">
        <f ca="1" t="shared" si="10"/>
        <v>1</v>
      </c>
      <c r="M122" s="29"/>
      <c r="N122" s="28" t="s">
        <v>59</v>
      </c>
      <c r="O122" s="28" t="s">
        <v>94</v>
      </c>
      <c r="P122" s="28" t="s">
        <v>55</v>
      </c>
      <c r="Q122" s="34"/>
      <c r="R122" s="28">
        <v>2</v>
      </c>
      <c r="S122" s="29">
        <v>0</v>
      </c>
      <c r="T122" s="29">
        <v>0</v>
      </c>
      <c r="U122" s="29">
        <f t="shared" si="11"/>
        <v>3</v>
      </c>
      <c r="V122" s="31"/>
    </row>
    <row r="123" spans="1:22" s="30" customFormat="1" ht="12.75">
      <c r="A123" s="24">
        <f t="shared" si="8"/>
      </c>
      <c r="B123" s="24" t="s">
        <v>52</v>
      </c>
      <c r="C123" s="29">
        <f t="shared" si="12"/>
        <v>1.5</v>
      </c>
      <c r="D123" s="29">
        <f t="shared" si="9"/>
        <v>13.5</v>
      </c>
      <c r="E123" s="29">
        <f t="shared" si="13"/>
        <v>14</v>
      </c>
      <c r="F123" s="28" t="s">
        <v>168</v>
      </c>
      <c r="G123" s="26" t="s">
        <v>32</v>
      </c>
      <c r="H123" s="26" t="s">
        <v>21</v>
      </c>
      <c r="I123" s="52" t="s">
        <v>54</v>
      </c>
      <c r="J123" s="52" t="s">
        <v>54</v>
      </c>
      <c r="K123" s="27">
        <f t="shared" si="14"/>
        <v>15</v>
      </c>
      <c r="L123" s="29">
        <f ca="1" t="shared" si="10"/>
        <v>1</v>
      </c>
      <c r="M123" s="29"/>
      <c r="N123" s="28" t="s">
        <v>59</v>
      </c>
      <c r="O123" s="28" t="s">
        <v>94</v>
      </c>
      <c r="P123" s="28" t="s">
        <v>422</v>
      </c>
      <c r="Q123" s="34"/>
      <c r="R123" s="28">
        <v>3</v>
      </c>
      <c r="S123" s="29">
        <v>0</v>
      </c>
      <c r="T123" s="29">
        <v>0</v>
      </c>
      <c r="U123" s="29">
        <f t="shared" si="11"/>
        <v>4</v>
      </c>
      <c r="V123" s="31"/>
    </row>
    <row r="124" spans="1:22" s="30" customFormat="1" ht="12.75">
      <c r="A124" s="24">
        <f>IF(OR(B124="Y",B124="M"),K124,"")</f>
      </c>
      <c r="B124" s="24" t="s">
        <v>52</v>
      </c>
      <c r="C124" s="29">
        <f>IF(G124="","--",(L124-Sta+Int)/2)</f>
        <v>1.5</v>
      </c>
      <c r="D124" s="29">
        <f>IF(AND(K124&lt;&gt;"",K124&lt;&gt;"G"),K124-C124,"--")</f>
        <v>13.5</v>
      </c>
      <c r="E124" s="29">
        <f>IF(AND(K124&lt;&gt;"",K124&lt;&gt;"G"),K124-L124,"--")</f>
        <v>14</v>
      </c>
      <c r="F124" s="28" t="s">
        <v>170</v>
      </c>
      <c r="G124" s="26" t="s">
        <v>32</v>
      </c>
      <c r="H124" s="26" t="s">
        <v>21</v>
      </c>
      <c r="I124" s="52" t="s">
        <v>54</v>
      </c>
      <c r="J124" s="52" t="s">
        <v>54</v>
      </c>
      <c r="K124" s="27">
        <f>IF(R124="G","G",IF(R124&gt;=5,R124+U124*5,IF((R124+U124)&lt;=5,(R124+U124),(5+5*(R124+U124-5)))))</f>
        <v>15</v>
      </c>
      <c r="L124" s="29">
        <f ca="1">IF(G124="","--",IF(I124="",INDIRECT(G124),MIN(INDIRECT(G124),INDIRECT(LEFT(I124,2)),INDIRECT(RIGHT(I124,2))))+IF(J124="",INDIRECT(H124),MIN(INDIRECT(H124),INDIRECT(LEFT(J124,2)),INDIRECT(RIGHT(J124,2))))+Sta+IF(M124="",0,$G$2))</f>
        <v>1</v>
      </c>
      <c r="M124" s="29"/>
      <c r="N124" s="28" t="s">
        <v>59</v>
      </c>
      <c r="O124" s="28" t="s">
        <v>94</v>
      </c>
      <c r="P124" s="28" t="s">
        <v>55</v>
      </c>
      <c r="Q124" s="34"/>
      <c r="R124" s="28">
        <v>3</v>
      </c>
      <c r="S124" s="29">
        <v>0</v>
      </c>
      <c r="T124" s="29">
        <v>1</v>
      </c>
      <c r="U124" s="29">
        <f>S124+T124+VLOOKUP(N124,Ranges,2,FALSE)+VLOOKUP(O124,Durations,2,FALSE)+VLOOKUP(P124,Targets,2,FALSE)</f>
        <v>4</v>
      </c>
      <c r="V124" s="31" t="s">
        <v>514</v>
      </c>
    </row>
    <row r="125" spans="1:22" s="30" customFormat="1" ht="12.75">
      <c r="A125" s="24">
        <f t="shared" si="8"/>
      </c>
      <c r="B125" s="24" t="s">
        <v>52</v>
      </c>
      <c r="C125" s="29">
        <f t="shared" si="12"/>
        <v>1.5</v>
      </c>
      <c r="D125" s="29">
        <f t="shared" si="9"/>
        <v>18.5</v>
      </c>
      <c r="E125" s="29">
        <f t="shared" si="13"/>
        <v>19</v>
      </c>
      <c r="F125" s="28" t="s">
        <v>169</v>
      </c>
      <c r="G125" s="26" t="s">
        <v>32</v>
      </c>
      <c r="H125" s="26" t="s">
        <v>21</v>
      </c>
      <c r="I125" s="52" t="s">
        <v>54</v>
      </c>
      <c r="J125" s="52" t="s">
        <v>54</v>
      </c>
      <c r="K125" s="27">
        <f t="shared" si="14"/>
        <v>20</v>
      </c>
      <c r="L125" s="29">
        <f ca="1" t="shared" si="10"/>
        <v>1</v>
      </c>
      <c r="M125" s="29"/>
      <c r="N125" s="28" t="s">
        <v>426</v>
      </c>
      <c r="O125" s="28" t="s">
        <v>94</v>
      </c>
      <c r="P125" s="28" t="s">
        <v>422</v>
      </c>
      <c r="Q125" s="34"/>
      <c r="R125" s="28">
        <v>3</v>
      </c>
      <c r="S125" s="29">
        <v>0</v>
      </c>
      <c r="T125" s="29">
        <v>0</v>
      </c>
      <c r="U125" s="29">
        <f t="shared" si="11"/>
        <v>5</v>
      </c>
      <c r="V125" s="31"/>
    </row>
    <row r="126" spans="1:22" s="30" customFormat="1" ht="12.75">
      <c r="A126" s="24">
        <f t="shared" si="8"/>
      </c>
      <c r="B126" s="24" t="s">
        <v>52</v>
      </c>
      <c r="C126" s="29">
        <f t="shared" si="12"/>
        <v>1.5</v>
      </c>
      <c r="D126" s="29">
        <f t="shared" si="9"/>
        <v>23.5</v>
      </c>
      <c r="E126" s="29">
        <f t="shared" si="13"/>
        <v>24</v>
      </c>
      <c r="F126" s="28" t="s">
        <v>171</v>
      </c>
      <c r="G126" s="26" t="s">
        <v>32</v>
      </c>
      <c r="H126" s="26" t="s">
        <v>21</v>
      </c>
      <c r="I126" s="52" t="s">
        <v>54</v>
      </c>
      <c r="J126" s="52"/>
      <c r="K126" s="27">
        <f t="shared" si="14"/>
        <v>25</v>
      </c>
      <c r="L126" s="29">
        <f ca="1" t="shared" si="10"/>
        <v>1</v>
      </c>
      <c r="M126" s="29"/>
      <c r="N126" s="28" t="s">
        <v>93</v>
      </c>
      <c r="O126" s="28" t="s">
        <v>94</v>
      </c>
      <c r="P126" s="28" t="s">
        <v>55</v>
      </c>
      <c r="Q126" s="34"/>
      <c r="R126" s="28">
        <v>15</v>
      </c>
      <c r="S126" s="29">
        <v>0</v>
      </c>
      <c r="T126" s="29">
        <v>0</v>
      </c>
      <c r="U126" s="29">
        <f t="shared" si="11"/>
        <v>2</v>
      </c>
      <c r="V126" s="94" t="s">
        <v>515</v>
      </c>
    </row>
    <row r="127" spans="1:22" s="30" customFormat="1" ht="12.75">
      <c r="A127" s="24">
        <f t="shared" si="8"/>
      </c>
      <c r="B127" s="24" t="s">
        <v>52</v>
      </c>
      <c r="C127" s="29">
        <f t="shared" si="12"/>
        <v>1.5</v>
      </c>
      <c r="D127" s="29">
        <f t="shared" si="9"/>
        <v>23.5</v>
      </c>
      <c r="E127" s="29">
        <f t="shared" si="13"/>
        <v>24</v>
      </c>
      <c r="F127" s="28" t="s">
        <v>172</v>
      </c>
      <c r="G127" s="26" t="s">
        <v>32</v>
      </c>
      <c r="H127" s="26" t="s">
        <v>21</v>
      </c>
      <c r="I127" s="52" t="s">
        <v>54</v>
      </c>
      <c r="J127" s="52" t="s">
        <v>18</v>
      </c>
      <c r="K127" s="27">
        <f t="shared" si="14"/>
        <v>25</v>
      </c>
      <c r="L127" s="29">
        <f ca="1" t="shared" si="10"/>
        <v>1</v>
      </c>
      <c r="M127" s="29"/>
      <c r="N127" s="28" t="s">
        <v>59</v>
      </c>
      <c r="O127" s="28" t="s">
        <v>94</v>
      </c>
      <c r="P127" s="28" t="s">
        <v>55</v>
      </c>
      <c r="Q127" s="34"/>
      <c r="R127" s="28">
        <v>10</v>
      </c>
      <c r="S127" s="29">
        <v>0</v>
      </c>
      <c r="T127" s="29">
        <v>0</v>
      </c>
      <c r="U127" s="29">
        <f t="shared" si="11"/>
        <v>3</v>
      </c>
      <c r="V127" s="31" t="s">
        <v>516</v>
      </c>
    </row>
    <row r="128" spans="1:22" s="30" customFormat="1" ht="12.75">
      <c r="A128" s="24">
        <f t="shared" si="8"/>
      </c>
      <c r="B128" s="24" t="s">
        <v>52</v>
      </c>
      <c r="C128" s="29">
        <f t="shared" si="12"/>
        <v>1.5</v>
      </c>
      <c r="D128" s="29">
        <f t="shared" si="9"/>
        <v>28.5</v>
      </c>
      <c r="E128" s="29">
        <f t="shared" si="13"/>
        <v>29</v>
      </c>
      <c r="F128" s="28" t="s">
        <v>173</v>
      </c>
      <c r="G128" s="26" t="s">
        <v>32</v>
      </c>
      <c r="H128" s="26" t="s">
        <v>21</v>
      </c>
      <c r="I128" s="52" t="s">
        <v>54</v>
      </c>
      <c r="J128" s="52" t="s">
        <v>18</v>
      </c>
      <c r="K128" s="27">
        <f t="shared" si="14"/>
        <v>30</v>
      </c>
      <c r="L128" s="29">
        <f ca="1" t="shared" si="10"/>
        <v>1</v>
      </c>
      <c r="M128" s="29"/>
      <c r="N128" s="28" t="s">
        <v>93</v>
      </c>
      <c r="O128" s="28" t="s">
        <v>94</v>
      </c>
      <c r="P128" s="28" t="s">
        <v>55</v>
      </c>
      <c r="Q128" s="34"/>
      <c r="R128" s="28">
        <v>20</v>
      </c>
      <c r="S128" s="29">
        <v>0</v>
      </c>
      <c r="T128" s="29">
        <v>0</v>
      </c>
      <c r="U128" s="29">
        <f t="shared" si="11"/>
        <v>2</v>
      </c>
      <c r="V128" s="31" t="s">
        <v>517</v>
      </c>
    </row>
    <row r="129" spans="1:22" s="30" customFormat="1" ht="12.75">
      <c r="A129" s="24">
        <f t="shared" si="8"/>
      </c>
      <c r="B129" s="24" t="s">
        <v>52</v>
      </c>
      <c r="C129" s="29">
        <f t="shared" si="12"/>
        <v>1.5</v>
      </c>
      <c r="D129" s="29">
        <f t="shared" si="9"/>
        <v>28.5</v>
      </c>
      <c r="E129" s="29">
        <f t="shared" si="13"/>
        <v>29</v>
      </c>
      <c r="F129" s="28" t="s">
        <v>174</v>
      </c>
      <c r="G129" s="26" t="s">
        <v>32</v>
      </c>
      <c r="H129" s="26" t="s">
        <v>21</v>
      </c>
      <c r="I129" s="52" t="s">
        <v>54</v>
      </c>
      <c r="J129" s="52" t="s">
        <v>18</v>
      </c>
      <c r="K129" s="27">
        <f t="shared" si="14"/>
        <v>30</v>
      </c>
      <c r="L129" s="29">
        <f ca="1" t="shared" si="10"/>
        <v>1</v>
      </c>
      <c r="M129" s="29"/>
      <c r="N129" s="28" t="s">
        <v>426</v>
      </c>
      <c r="O129" s="28" t="s">
        <v>94</v>
      </c>
      <c r="P129" s="28" t="s">
        <v>55</v>
      </c>
      <c r="Q129" s="34"/>
      <c r="R129" s="28">
        <v>10</v>
      </c>
      <c r="S129" s="29">
        <v>0</v>
      </c>
      <c r="T129" s="29">
        <v>0</v>
      </c>
      <c r="U129" s="29">
        <f t="shared" si="11"/>
        <v>4</v>
      </c>
      <c r="V129" s="31" t="s">
        <v>518</v>
      </c>
    </row>
    <row r="130" spans="1:22" s="30" customFormat="1" ht="12.75">
      <c r="A130" s="24">
        <f t="shared" si="8"/>
      </c>
      <c r="B130" s="24" t="s">
        <v>52</v>
      </c>
      <c r="C130" s="29">
        <f t="shared" si="12"/>
        <v>1.5</v>
      </c>
      <c r="D130" s="29">
        <f t="shared" si="9"/>
        <v>33.5</v>
      </c>
      <c r="E130" s="29">
        <f t="shared" si="13"/>
        <v>34</v>
      </c>
      <c r="F130" s="28" t="s">
        <v>175</v>
      </c>
      <c r="G130" s="26" t="s">
        <v>32</v>
      </c>
      <c r="H130" s="26" t="s">
        <v>21</v>
      </c>
      <c r="I130" s="52" t="s">
        <v>54</v>
      </c>
      <c r="J130" s="52" t="s">
        <v>22</v>
      </c>
      <c r="K130" s="27">
        <f t="shared" si="14"/>
        <v>35</v>
      </c>
      <c r="L130" s="29">
        <f ca="1" t="shared" si="10"/>
        <v>1</v>
      </c>
      <c r="M130" s="29"/>
      <c r="N130" s="28" t="s">
        <v>93</v>
      </c>
      <c r="O130" s="28" t="s">
        <v>94</v>
      </c>
      <c r="P130" s="28" t="s">
        <v>55</v>
      </c>
      <c r="Q130" s="34"/>
      <c r="R130" s="28">
        <v>25</v>
      </c>
      <c r="S130" s="29">
        <v>0</v>
      </c>
      <c r="T130" s="29">
        <v>0</v>
      </c>
      <c r="U130" s="29">
        <f t="shared" si="11"/>
        <v>2</v>
      </c>
      <c r="V130" s="31"/>
    </row>
    <row r="131" spans="1:22" s="30" customFormat="1" ht="12.75">
      <c r="A131" s="24">
        <f t="shared" si="8"/>
      </c>
      <c r="B131" s="24" t="s">
        <v>52</v>
      </c>
      <c r="C131" s="29">
        <f t="shared" si="12"/>
        <v>1.5</v>
      </c>
      <c r="D131" s="29">
        <f t="shared" si="9"/>
        <v>38.5</v>
      </c>
      <c r="E131" s="29">
        <f t="shared" si="13"/>
        <v>39</v>
      </c>
      <c r="F131" s="28" t="s">
        <v>176</v>
      </c>
      <c r="G131" s="26" t="s">
        <v>32</v>
      </c>
      <c r="H131" s="26" t="s">
        <v>21</v>
      </c>
      <c r="I131" s="52" t="s">
        <v>54</v>
      </c>
      <c r="J131" s="52" t="s">
        <v>20</v>
      </c>
      <c r="K131" s="27">
        <f t="shared" si="14"/>
        <v>40</v>
      </c>
      <c r="L131" s="29">
        <f ca="1" t="shared" si="10"/>
        <v>1</v>
      </c>
      <c r="M131" s="29"/>
      <c r="N131" s="28" t="s">
        <v>93</v>
      </c>
      <c r="O131" s="28" t="s">
        <v>94</v>
      </c>
      <c r="P131" s="28" t="s">
        <v>55</v>
      </c>
      <c r="Q131" s="34"/>
      <c r="R131" s="28">
        <v>30</v>
      </c>
      <c r="S131" s="29">
        <v>0</v>
      </c>
      <c r="T131" s="29">
        <v>0</v>
      </c>
      <c r="U131" s="29">
        <f t="shared" si="11"/>
        <v>2</v>
      </c>
      <c r="V131" s="31"/>
    </row>
    <row r="132" spans="1:22" s="30" customFormat="1" ht="12.75">
      <c r="A132" s="24">
        <f t="shared" si="8"/>
      </c>
      <c r="B132" s="24" t="s">
        <v>52</v>
      </c>
      <c r="C132" s="29">
        <f t="shared" si="12"/>
        <v>1.5</v>
      </c>
      <c r="D132" s="29">
        <f t="shared" si="9"/>
        <v>38.5</v>
      </c>
      <c r="E132" s="29">
        <f t="shared" si="13"/>
        <v>39</v>
      </c>
      <c r="F132" s="28" t="s">
        <v>177</v>
      </c>
      <c r="G132" s="26" t="s">
        <v>32</v>
      </c>
      <c r="H132" s="26" t="s">
        <v>21</v>
      </c>
      <c r="I132" s="52" t="s">
        <v>54</v>
      </c>
      <c r="J132" s="52" t="s">
        <v>19</v>
      </c>
      <c r="K132" s="27">
        <f t="shared" si="14"/>
        <v>40</v>
      </c>
      <c r="L132" s="29">
        <f ca="1" t="shared" si="10"/>
        <v>1</v>
      </c>
      <c r="M132" s="29"/>
      <c r="N132" s="28" t="s">
        <v>93</v>
      </c>
      <c r="O132" s="28" t="s">
        <v>94</v>
      </c>
      <c r="P132" s="28" t="s">
        <v>55</v>
      </c>
      <c r="Q132" s="34"/>
      <c r="R132" s="28">
        <v>30</v>
      </c>
      <c r="S132" s="29">
        <v>0</v>
      </c>
      <c r="T132" s="29">
        <v>0</v>
      </c>
      <c r="U132" s="29">
        <f t="shared" si="11"/>
        <v>2</v>
      </c>
      <c r="V132" s="31"/>
    </row>
    <row r="133" spans="1:22" s="30" customFormat="1" ht="12.75">
      <c r="A133" s="24">
        <f t="shared" si="8"/>
      </c>
      <c r="B133" s="24" t="s">
        <v>52</v>
      </c>
      <c r="C133" s="29">
        <f t="shared" si="12"/>
        <v>1.5</v>
      </c>
      <c r="D133" s="29">
        <f t="shared" si="9"/>
        <v>43.5</v>
      </c>
      <c r="E133" s="29">
        <f t="shared" si="13"/>
        <v>44</v>
      </c>
      <c r="F133" s="28" t="s">
        <v>178</v>
      </c>
      <c r="G133" s="26" t="s">
        <v>32</v>
      </c>
      <c r="H133" s="26" t="s">
        <v>21</v>
      </c>
      <c r="I133" s="52" t="s">
        <v>54</v>
      </c>
      <c r="J133" s="52" t="s">
        <v>26</v>
      </c>
      <c r="K133" s="27">
        <f t="shared" si="14"/>
        <v>45</v>
      </c>
      <c r="L133" s="29">
        <f ca="1" t="shared" si="10"/>
        <v>1</v>
      </c>
      <c r="M133" s="29"/>
      <c r="N133" s="28" t="s">
        <v>93</v>
      </c>
      <c r="O133" s="28" t="s">
        <v>60</v>
      </c>
      <c r="P133" s="28" t="s">
        <v>55</v>
      </c>
      <c r="Q133" s="34"/>
      <c r="R133" s="28">
        <v>25</v>
      </c>
      <c r="S133" s="29">
        <v>0</v>
      </c>
      <c r="T133" s="29">
        <v>1</v>
      </c>
      <c r="U133" s="29">
        <f t="shared" si="11"/>
        <v>4</v>
      </c>
      <c r="V133" s="31"/>
    </row>
    <row r="134" spans="1:22" s="30" customFormat="1" ht="12.75">
      <c r="A134" s="24">
        <f t="shared" si="8"/>
      </c>
      <c r="B134" s="24" t="s">
        <v>52</v>
      </c>
      <c r="C134" s="29">
        <f t="shared" si="12"/>
        <v>1.5</v>
      </c>
      <c r="D134" s="29">
        <f t="shared" si="9"/>
        <v>58.5</v>
      </c>
      <c r="E134" s="29">
        <f t="shared" si="13"/>
        <v>59</v>
      </c>
      <c r="F134" s="28" t="s">
        <v>179</v>
      </c>
      <c r="G134" s="26" t="s">
        <v>32</v>
      </c>
      <c r="H134" s="26" t="s">
        <v>21</v>
      </c>
      <c r="I134" s="52" t="s">
        <v>54</v>
      </c>
      <c r="J134" s="52" t="s">
        <v>18</v>
      </c>
      <c r="K134" s="27">
        <f t="shared" si="14"/>
        <v>60</v>
      </c>
      <c r="L134" s="29">
        <f ca="1" t="shared" si="10"/>
        <v>1</v>
      </c>
      <c r="M134" s="29"/>
      <c r="N134" s="28" t="s">
        <v>426</v>
      </c>
      <c r="O134" s="28" t="s">
        <v>101</v>
      </c>
      <c r="P134" s="28" t="s">
        <v>61</v>
      </c>
      <c r="Q134" s="34" t="s">
        <v>62</v>
      </c>
      <c r="R134" s="28">
        <v>10</v>
      </c>
      <c r="S134" s="29">
        <v>0</v>
      </c>
      <c r="T134" s="29">
        <v>0</v>
      </c>
      <c r="U134" s="29">
        <f t="shared" si="11"/>
        <v>10</v>
      </c>
      <c r="V134" s="31" t="s">
        <v>512</v>
      </c>
    </row>
    <row r="135" spans="1:22" s="30" customFormat="1" ht="12.75">
      <c r="A135" s="24">
        <f t="shared" si="8"/>
      </c>
      <c r="B135" s="24" t="s">
        <v>52</v>
      </c>
      <c r="C135" s="29">
        <f t="shared" si="12"/>
        <v>1.5</v>
      </c>
      <c r="D135" s="29">
        <f t="shared" si="9"/>
        <v>3.5</v>
      </c>
      <c r="E135" s="29">
        <f t="shared" si="13"/>
        <v>4</v>
      </c>
      <c r="F135" s="28" t="s">
        <v>180</v>
      </c>
      <c r="G135" s="26" t="s">
        <v>33</v>
      </c>
      <c r="H135" s="26" t="s">
        <v>21</v>
      </c>
      <c r="I135" s="52" t="s">
        <v>54</v>
      </c>
      <c r="J135" s="52" t="s">
        <v>54</v>
      </c>
      <c r="K135" s="27">
        <f t="shared" si="14"/>
        <v>5</v>
      </c>
      <c r="L135" s="29">
        <f ca="1" t="shared" si="10"/>
        <v>1</v>
      </c>
      <c r="M135" s="29"/>
      <c r="N135" s="28" t="s">
        <v>426</v>
      </c>
      <c r="O135" s="28" t="s">
        <v>76</v>
      </c>
      <c r="P135" s="28" t="s">
        <v>55</v>
      </c>
      <c r="Q135" s="34"/>
      <c r="R135" s="28">
        <v>3</v>
      </c>
      <c r="S135" s="29">
        <v>0</v>
      </c>
      <c r="T135" s="29">
        <v>0</v>
      </c>
      <c r="U135" s="29">
        <f t="shared" si="11"/>
        <v>2</v>
      </c>
      <c r="V135" s="31" t="s">
        <v>521</v>
      </c>
    </row>
    <row r="136" spans="1:22" s="30" customFormat="1" ht="12.75">
      <c r="A136" s="24">
        <f aca="true" t="shared" si="15" ref="A136:A146">IF(OR(B136="Y",B136="M"),K136,"")</f>
      </c>
      <c r="B136" s="24" t="s">
        <v>52</v>
      </c>
      <c r="C136" s="29">
        <f aca="true" t="shared" si="16" ref="C136:C146">IF(G136="","--",(L136-Sta+Int)/2)</f>
        <v>1.5</v>
      </c>
      <c r="D136" s="29">
        <f aca="true" t="shared" si="17" ref="D136:D146">IF(AND(K136&lt;&gt;"",K136&lt;&gt;"G"),K136-C136,"--")</f>
        <v>13.5</v>
      </c>
      <c r="E136" s="29">
        <f aca="true" t="shared" si="18" ref="E136:E146">IF(AND(K136&lt;&gt;"",K136&lt;&gt;"G"),K136-L136,"--")</f>
        <v>14</v>
      </c>
      <c r="F136" s="28" t="s">
        <v>182</v>
      </c>
      <c r="G136" s="26" t="s">
        <v>33</v>
      </c>
      <c r="H136" s="26" t="s">
        <v>21</v>
      </c>
      <c r="I136" s="52" t="s">
        <v>54</v>
      </c>
      <c r="J136" s="52" t="s">
        <v>54</v>
      </c>
      <c r="K136" s="27">
        <f aca="true" t="shared" si="19" ref="K136:K146">IF(R136="G","G",IF(R136&gt;=5,R136+U136*5,IF((R136+U136)&lt;=5,(R136+U136),(5+5*(R136+U136-5)))))</f>
        <v>15</v>
      </c>
      <c r="L136" s="29">
        <f aca="true" ca="1" t="shared" si="20" ref="L136:L146">IF(G136="","--",IF(I136="",INDIRECT(G136),MIN(INDIRECT(G136),INDIRECT(LEFT(I136,2)),INDIRECT(RIGHT(I136,2))))+IF(J136="",INDIRECT(H136),MIN(INDIRECT(H136),INDIRECT(LEFT(J136,2)),INDIRECT(RIGHT(J136,2))))+Sta+IF(M136="",0,$G$2))</f>
        <v>1</v>
      </c>
      <c r="M136" s="29"/>
      <c r="N136" s="28" t="s">
        <v>426</v>
      </c>
      <c r="O136" s="28" t="s">
        <v>76</v>
      </c>
      <c r="P136" s="28" t="s">
        <v>55</v>
      </c>
      <c r="Q136" s="34"/>
      <c r="R136" s="28">
        <v>5</v>
      </c>
      <c r="S136" s="29">
        <v>0</v>
      </c>
      <c r="T136" s="29">
        <v>0</v>
      </c>
      <c r="U136" s="29">
        <f aca="true" t="shared" si="21" ref="U136:U146">S136+T136+VLOOKUP(N136,Ranges,2,FALSE)+VLOOKUP(O136,Durations,2,FALSE)+VLOOKUP(P136,Targets,2,FALSE)</f>
        <v>2</v>
      </c>
      <c r="V136" s="31"/>
    </row>
    <row r="137" spans="1:22" s="30" customFormat="1" ht="12.75">
      <c r="A137" s="24">
        <f t="shared" si="15"/>
      </c>
      <c r="B137" s="24" t="s">
        <v>52</v>
      </c>
      <c r="C137" s="29">
        <f t="shared" si="16"/>
        <v>1.5</v>
      </c>
      <c r="D137" s="29">
        <f t="shared" si="17"/>
        <v>13.5</v>
      </c>
      <c r="E137" s="29">
        <f t="shared" si="18"/>
        <v>14</v>
      </c>
      <c r="F137" s="28" t="s">
        <v>184</v>
      </c>
      <c r="G137" s="26" t="s">
        <v>33</v>
      </c>
      <c r="H137" s="26" t="s">
        <v>21</v>
      </c>
      <c r="I137" s="52" t="s">
        <v>54</v>
      </c>
      <c r="J137" s="52" t="s">
        <v>54</v>
      </c>
      <c r="K137" s="27">
        <f t="shared" si="19"/>
        <v>15</v>
      </c>
      <c r="L137" s="29">
        <f ca="1" t="shared" si="20"/>
        <v>1</v>
      </c>
      <c r="M137" s="29"/>
      <c r="N137" s="28" t="s">
        <v>426</v>
      </c>
      <c r="O137" s="28" t="s">
        <v>76</v>
      </c>
      <c r="P137" s="28" t="s">
        <v>55</v>
      </c>
      <c r="Q137" s="34"/>
      <c r="R137" s="28">
        <v>5</v>
      </c>
      <c r="S137" s="29">
        <v>0</v>
      </c>
      <c r="T137" s="29">
        <v>0</v>
      </c>
      <c r="U137" s="29">
        <f t="shared" si="21"/>
        <v>2</v>
      </c>
      <c r="V137" s="31" t="s">
        <v>522</v>
      </c>
    </row>
    <row r="138" spans="1:22" s="30" customFormat="1" ht="12.75">
      <c r="A138" s="24">
        <f t="shared" si="15"/>
      </c>
      <c r="B138" s="24" t="s">
        <v>52</v>
      </c>
      <c r="C138" s="29">
        <f t="shared" si="16"/>
        <v>1.5</v>
      </c>
      <c r="D138" s="29">
        <f t="shared" si="17"/>
        <v>18.5</v>
      </c>
      <c r="E138" s="29">
        <f t="shared" si="18"/>
        <v>19</v>
      </c>
      <c r="F138" s="28" t="s">
        <v>181</v>
      </c>
      <c r="G138" s="26" t="s">
        <v>33</v>
      </c>
      <c r="H138" s="26" t="s">
        <v>21</v>
      </c>
      <c r="I138" s="52" t="s">
        <v>54</v>
      </c>
      <c r="J138" s="52" t="s">
        <v>54</v>
      </c>
      <c r="K138" s="27">
        <f t="shared" si="19"/>
        <v>20</v>
      </c>
      <c r="L138" s="29">
        <f ca="1" t="shared" si="20"/>
        <v>1</v>
      </c>
      <c r="M138" s="29"/>
      <c r="N138" s="28" t="s">
        <v>426</v>
      </c>
      <c r="O138" s="28" t="s">
        <v>76</v>
      </c>
      <c r="P138" s="28" t="s">
        <v>55</v>
      </c>
      <c r="Q138" s="34"/>
      <c r="R138" s="28">
        <v>10</v>
      </c>
      <c r="S138" s="29">
        <v>0</v>
      </c>
      <c r="T138" s="29">
        <v>0</v>
      </c>
      <c r="U138" s="29">
        <f t="shared" si="21"/>
        <v>2</v>
      </c>
      <c r="V138" s="31" t="s">
        <v>523</v>
      </c>
    </row>
    <row r="139" spans="1:22" s="30" customFormat="1" ht="12.75">
      <c r="A139" s="24">
        <f t="shared" si="15"/>
      </c>
      <c r="B139" s="24" t="s">
        <v>52</v>
      </c>
      <c r="C139" s="29">
        <f t="shared" si="16"/>
        <v>1.5</v>
      </c>
      <c r="D139" s="29">
        <f t="shared" si="17"/>
        <v>23.5</v>
      </c>
      <c r="E139" s="29">
        <f t="shared" si="18"/>
        <v>24</v>
      </c>
      <c r="F139" s="28" t="s">
        <v>185</v>
      </c>
      <c r="G139" s="26" t="s">
        <v>33</v>
      </c>
      <c r="H139" s="26" t="s">
        <v>21</v>
      </c>
      <c r="I139" s="52" t="s">
        <v>54</v>
      </c>
      <c r="J139" s="52" t="s">
        <v>54</v>
      </c>
      <c r="K139" s="27">
        <f t="shared" si="19"/>
        <v>25</v>
      </c>
      <c r="L139" s="29">
        <f ca="1" t="shared" si="20"/>
        <v>1</v>
      </c>
      <c r="M139" s="29"/>
      <c r="N139" s="28" t="s">
        <v>426</v>
      </c>
      <c r="O139" s="28" t="s">
        <v>76</v>
      </c>
      <c r="P139" s="28" t="s">
        <v>55</v>
      </c>
      <c r="Q139" s="34"/>
      <c r="R139" s="28">
        <v>15</v>
      </c>
      <c r="S139" s="29">
        <v>0</v>
      </c>
      <c r="T139" s="29">
        <v>0</v>
      </c>
      <c r="U139" s="29">
        <f t="shared" si="21"/>
        <v>2</v>
      </c>
      <c r="V139" s="31" t="s">
        <v>524</v>
      </c>
    </row>
    <row r="140" spans="1:22" s="30" customFormat="1" ht="12.75">
      <c r="A140" s="24">
        <f t="shared" si="15"/>
      </c>
      <c r="B140" s="24" t="s">
        <v>52</v>
      </c>
      <c r="C140" s="29">
        <f t="shared" si="16"/>
        <v>1.5</v>
      </c>
      <c r="D140" s="29">
        <f t="shared" si="17"/>
        <v>23.5</v>
      </c>
      <c r="E140" s="29">
        <f t="shared" si="18"/>
        <v>24</v>
      </c>
      <c r="F140" s="28" t="s">
        <v>189</v>
      </c>
      <c r="G140" s="26" t="s">
        <v>33</v>
      </c>
      <c r="H140" s="26" t="s">
        <v>21</v>
      </c>
      <c r="I140" s="52" t="s">
        <v>54</v>
      </c>
      <c r="J140" s="52" t="s">
        <v>54</v>
      </c>
      <c r="K140" s="27">
        <f t="shared" si="19"/>
        <v>25</v>
      </c>
      <c r="L140" s="29">
        <f ca="1" t="shared" si="20"/>
        <v>1</v>
      </c>
      <c r="M140" s="29"/>
      <c r="N140" s="28" t="s">
        <v>59</v>
      </c>
      <c r="O140" s="28" t="s">
        <v>76</v>
      </c>
      <c r="P140" s="28" t="s">
        <v>55</v>
      </c>
      <c r="Q140" s="34"/>
      <c r="R140" s="28">
        <v>20</v>
      </c>
      <c r="S140" s="29">
        <v>0</v>
      </c>
      <c r="T140" s="29">
        <v>0</v>
      </c>
      <c r="U140" s="29">
        <f t="shared" si="21"/>
        <v>1</v>
      </c>
      <c r="V140" s="31" t="s">
        <v>512</v>
      </c>
    </row>
    <row r="141" spans="1:22" s="30" customFormat="1" ht="12.75">
      <c r="A141" s="24">
        <f t="shared" si="15"/>
      </c>
      <c r="B141" s="24" t="s">
        <v>52</v>
      </c>
      <c r="C141" s="29">
        <f t="shared" si="16"/>
        <v>1.5</v>
      </c>
      <c r="D141" s="29">
        <f t="shared" si="17"/>
        <v>23.5</v>
      </c>
      <c r="E141" s="29">
        <f t="shared" si="18"/>
        <v>24</v>
      </c>
      <c r="F141" s="28" t="s">
        <v>183</v>
      </c>
      <c r="G141" s="26" t="s">
        <v>33</v>
      </c>
      <c r="H141" s="26" t="s">
        <v>21</v>
      </c>
      <c r="I141" s="52" t="s">
        <v>54</v>
      </c>
      <c r="J141" s="52" t="s">
        <v>54</v>
      </c>
      <c r="K141" s="27">
        <f t="shared" si="19"/>
        <v>25</v>
      </c>
      <c r="L141" s="29">
        <f ca="1" t="shared" si="20"/>
        <v>1</v>
      </c>
      <c r="M141" s="29"/>
      <c r="N141" s="28" t="s">
        <v>426</v>
      </c>
      <c r="O141" s="28" t="s">
        <v>66</v>
      </c>
      <c r="P141" s="28" t="s">
        <v>55</v>
      </c>
      <c r="Q141" s="34"/>
      <c r="R141" s="28">
        <v>10</v>
      </c>
      <c r="S141" s="29">
        <v>0</v>
      </c>
      <c r="T141" s="29">
        <v>0</v>
      </c>
      <c r="U141" s="29">
        <f t="shared" si="21"/>
        <v>3</v>
      </c>
      <c r="V141" s="31" t="s">
        <v>525</v>
      </c>
    </row>
    <row r="142" spans="1:22" s="30" customFormat="1" ht="12.75">
      <c r="A142" s="24">
        <f t="shared" si="15"/>
      </c>
      <c r="B142" s="24" t="s">
        <v>52</v>
      </c>
      <c r="C142" s="29">
        <f t="shared" si="16"/>
        <v>1.5</v>
      </c>
      <c r="D142" s="29">
        <f t="shared" si="17"/>
        <v>28.5</v>
      </c>
      <c r="E142" s="29">
        <f t="shared" si="18"/>
        <v>29</v>
      </c>
      <c r="F142" s="28" t="s">
        <v>186</v>
      </c>
      <c r="G142" s="26" t="s">
        <v>33</v>
      </c>
      <c r="H142" s="26" t="s">
        <v>21</v>
      </c>
      <c r="I142" s="52" t="s">
        <v>54</v>
      </c>
      <c r="J142" s="52" t="s">
        <v>54</v>
      </c>
      <c r="K142" s="27">
        <f t="shared" si="19"/>
        <v>30</v>
      </c>
      <c r="L142" s="29">
        <f ca="1" t="shared" si="20"/>
        <v>1</v>
      </c>
      <c r="M142" s="29"/>
      <c r="N142" s="28" t="s">
        <v>426</v>
      </c>
      <c r="O142" s="28" t="s">
        <v>76</v>
      </c>
      <c r="P142" s="28" t="s">
        <v>55</v>
      </c>
      <c r="Q142" s="34"/>
      <c r="R142" s="28">
        <v>20</v>
      </c>
      <c r="S142" s="29">
        <v>0</v>
      </c>
      <c r="T142" s="29">
        <v>0</v>
      </c>
      <c r="U142" s="29">
        <f t="shared" si="21"/>
        <v>2</v>
      </c>
      <c r="V142" s="31" t="s">
        <v>526</v>
      </c>
    </row>
    <row r="143" spans="1:22" s="30" customFormat="1" ht="12.75">
      <c r="A143" s="24">
        <f t="shared" si="15"/>
      </c>
      <c r="B143" s="24" t="s">
        <v>52</v>
      </c>
      <c r="C143" s="29">
        <f t="shared" si="16"/>
        <v>1.5</v>
      </c>
      <c r="D143" s="29">
        <f t="shared" si="17"/>
        <v>28.5</v>
      </c>
      <c r="E143" s="29">
        <f t="shared" si="18"/>
        <v>29</v>
      </c>
      <c r="F143" s="28" t="s">
        <v>187</v>
      </c>
      <c r="G143" s="26" t="s">
        <v>33</v>
      </c>
      <c r="H143" s="26" t="s">
        <v>21</v>
      </c>
      <c r="I143" s="52" t="s">
        <v>54</v>
      </c>
      <c r="J143" s="52" t="s">
        <v>54</v>
      </c>
      <c r="K143" s="27">
        <f t="shared" si="19"/>
        <v>30</v>
      </c>
      <c r="L143" s="29">
        <f ca="1" t="shared" si="20"/>
        <v>1</v>
      </c>
      <c r="M143" s="29"/>
      <c r="N143" s="28" t="s">
        <v>426</v>
      </c>
      <c r="O143" s="28" t="s">
        <v>76</v>
      </c>
      <c r="P143" s="28" t="s">
        <v>422</v>
      </c>
      <c r="Q143" s="34"/>
      <c r="R143" s="28">
        <v>15</v>
      </c>
      <c r="S143" s="29">
        <v>0</v>
      </c>
      <c r="T143" s="29">
        <v>0</v>
      </c>
      <c r="U143" s="29">
        <f t="shared" si="21"/>
        <v>3</v>
      </c>
      <c r="V143" s="31" t="s">
        <v>527</v>
      </c>
    </row>
    <row r="144" spans="1:22" s="30" customFormat="1" ht="12.75">
      <c r="A144" s="24">
        <f t="shared" si="15"/>
      </c>
      <c r="B144" s="24" t="s">
        <v>52</v>
      </c>
      <c r="C144" s="29">
        <f t="shared" si="16"/>
        <v>1.5</v>
      </c>
      <c r="D144" s="29">
        <f t="shared" si="17"/>
        <v>38.5</v>
      </c>
      <c r="E144" s="29">
        <f t="shared" si="18"/>
        <v>39</v>
      </c>
      <c r="F144" s="28" t="s">
        <v>188</v>
      </c>
      <c r="G144" s="26" t="s">
        <v>33</v>
      </c>
      <c r="H144" s="26" t="s">
        <v>21</v>
      </c>
      <c r="I144" s="52" t="s">
        <v>54</v>
      </c>
      <c r="J144" s="52" t="s">
        <v>54</v>
      </c>
      <c r="K144" s="27">
        <f t="shared" si="19"/>
        <v>40</v>
      </c>
      <c r="L144" s="29">
        <f ca="1" t="shared" si="20"/>
        <v>1</v>
      </c>
      <c r="M144" s="29"/>
      <c r="N144" s="28" t="s">
        <v>426</v>
      </c>
      <c r="O144" s="28" t="s">
        <v>76</v>
      </c>
      <c r="P144" s="28" t="s">
        <v>55</v>
      </c>
      <c r="Q144" s="34"/>
      <c r="R144" s="28">
        <v>30</v>
      </c>
      <c r="S144" s="29">
        <v>0</v>
      </c>
      <c r="T144" s="29">
        <v>0</v>
      </c>
      <c r="U144" s="29">
        <f t="shared" si="21"/>
        <v>2</v>
      </c>
      <c r="V144" s="31"/>
    </row>
    <row r="145" spans="1:22" s="30" customFormat="1" ht="12.75">
      <c r="A145" s="24">
        <f t="shared" si="15"/>
      </c>
      <c r="B145" s="24" t="s">
        <v>52</v>
      </c>
      <c r="C145" s="29">
        <f t="shared" si="16"/>
        <v>1.5</v>
      </c>
      <c r="D145" s="29">
        <f t="shared" si="17"/>
        <v>43.5</v>
      </c>
      <c r="E145" s="29">
        <f t="shared" si="18"/>
        <v>44</v>
      </c>
      <c r="F145" s="28" t="s">
        <v>190</v>
      </c>
      <c r="G145" s="26" t="s">
        <v>33</v>
      </c>
      <c r="H145" s="26" t="s">
        <v>21</v>
      </c>
      <c r="I145" s="52" t="s">
        <v>54</v>
      </c>
      <c r="J145" s="52" t="s">
        <v>54</v>
      </c>
      <c r="K145" s="27">
        <f t="shared" si="19"/>
        <v>45</v>
      </c>
      <c r="L145" s="29">
        <f ca="1" t="shared" si="20"/>
        <v>1</v>
      </c>
      <c r="M145" s="29"/>
      <c r="N145" s="28" t="s">
        <v>59</v>
      </c>
      <c r="O145" s="28" t="s">
        <v>76</v>
      </c>
      <c r="P145" s="28" t="s">
        <v>55</v>
      </c>
      <c r="Q145" s="34"/>
      <c r="R145" s="28">
        <v>30</v>
      </c>
      <c r="S145" s="29">
        <v>0</v>
      </c>
      <c r="T145" s="29">
        <v>2</v>
      </c>
      <c r="U145" s="29">
        <f t="shared" si="21"/>
        <v>3</v>
      </c>
      <c r="V145" s="31" t="s">
        <v>445</v>
      </c>
    </row>
    <row r="146" spans="1:22" s="30" customFormat="1" ht="12.75">
      <c r="A146" s="24">
        <f t="shared" si="15"/>
      </c>
      <c r="B146" s="24" t="s">
        <v>52</v>
      </c>
      <c r="C146" s="29">
        <f t="shared" si="16"/>
        <v>1.5</v>
      </c>
      <c r="D146" s="29">
        <f t="shared" si="17"/>
        <v>53.5</v>
      </c>
      <c r="E146" s="29">
        <f t="shared" si="18"/>
        <v>54</v>
      </c>
      <c r="F146" s="28" t="s">
        <v>191</v>
      </c>
      <c r="G146" s="26" t="s">
        <v>33</v>
      </c>
      <c r="H146" s="26" t="s">
        <v>21</v>
      </c>
      <c r="I146" s="52" t="s">
        <v>54</v>
      </c>
      <c r="J146" s="52" t="s">
        <v>54</v>
      </c>
      <c r="K146" s="27">
        <f t="shared" si="19"/>
        <v>55</v>
      </c>
      <c r="L146" s="29">
        <f ca="1" t="shared" si="20"/>
        <v>1</v>
      </c>
      <c r="M146" s="29"/>
      <c r="N146" s="28" t="s">
        <v>118</v>
      </c>
      <c r="O146" s="28" t="s">
        <v>76</v>
      </c>
      <c r="P146" s="28" t="s">
        <v>61</v>
      </c>
      <c r="Q146" s="34" t="s">
        <v>62</v>
      </c>
      <c r="R146" s="28">
        <v>20</v>
      </c>
      <c r="S146" s="29">
        <v>0</v>
      </c>
      <c r="T146" s="29">
        <v>0</v>
      </c>
      <c r="U146" s="29">
        <f t="shared" si="21"/>
        <v>7</v>
      </c>
      <c r="V146" s="31"/>
    </row>
    <row r="147" spans="1:22" s="30" customFormat="1" ht="12.75">
      <c r="A147" s="24">
        <f aca="true" t="shared" si="22" ref="A147:A201">IF(OR(B147="Y",B147="M"),K147,"")</f>
      </c>
      <c r="B147" s="24" t="s">
        <v>52</v>
      </c>
      <c r="C147" s="29">
        <f aca="true" t="shared" si="23" ref="C147:C203">IF(G147="","--",(L147-Sta+Int)/2)</f>
        <v>1.5</v>
      </c>
      <c r="D147" s="29">
        <f aca="true" t="shared" si="24" ref="D147:D201">IF(AND(K147&lt;&gt;"",K147&lt;&gt;"G"),K147-C147,"--")</f>
        <v>3.5</v>
      </c>
      <c r="E147" s="29">
        <f aca="true" t="shared" si="25" ref="E147:E204">IF(AND(K147&lt;&gt;"",K147&lt;&gt;"G"),K147-L147,"--")</f>
        <v>4</v>
      </c>
      <c r="F147" s="28" t="s">
        <v>192</v>
      </c>
      <c r="G147" s="26" t="s">
        <v>35</v>
      </c>
      <c r="H147" s="26" t="s">
        <v>21</v>
      </c>
      <c r="I147" s="52" t="s">
        <v>54</v>
      </c>
      <c r="J147" s="52" t="s">
        <v>54</v>
      </c>
      <c r="K147" s="27">
        <f t="shared" si="14"/>
        <v>5</v>
      </c>
      <c r="L147" s="29">
        <f aca="true" ca="1" t="shared" si="26" ref="L147:L201">IF(G147="","--",IF(I147="",INDIRECT(G147),MIN(INDIRECT(G147),INDIRECT(LEFT(I147,2)),INDIRECT(RIGHT(I147,2))))+IF(J147="",INDIRECT(H147),MIN(INDIRECT(H147),INDIRECT(LEFT(J147,2)),INDIRECT(RIGHT(J147,2))))+Sta+IF(M147="",0,$G$2))</f>
        <v>1</v>
      </c>
      <c r="M147" s="29"/>
      <c r="N147" s="28" t="s">
        <v>426</v>
      </c>
      <c r="O147" s="28" t="s">
        <v>66</v>
      </c>
      <c r="P147" s="28" t="s">
        <v>55</v>
      </c>
      <c r="Q147" s="34"/>
      <c r="R147" s="28">
        <v>2</v>
      </c>
      <c r="S147" s="29">
        <v>0</v>
      </c>
      <c r="T147" s="29">
        <v>0</v>
      </c>
      <c r="U147" s="29">
        <f aca="true" t="shared" si="27" ref="U147:U201">S147+T147+VLOOKUP(N147,Ranges,2,FALSE)+VLOOKUP(O147,Durations,2,FALSE)+VLOOKUP(P147,Targets,2,FALSE)</f>
        <v>3</v>
      </c>
      <c r="V147" s="94" t="s">
        <v>529</v>
      </c>
    </row>
    <row r="148" spans="1:22" s="30" customFormat="1" ht="12.75">
      <c r="A148" s="24">
        <f>IF(OR(B148="Y",B148="M"),K148,"")</f>
      </c>
      <c r="B148" s="24" t="s">
        <v>52</v>
      </c>
      <c r="C148" s="29">
        <f>IF(G148="","--",(L148-Sta+Int)/2)</f>
        <v>1.5</v>
      </c>
      <c r="D148" s="29">
        <f>IF(AND(K148&lt;&gt;"",K148&lt;&gt;"G"),K148-C148,"--")</f>
        <v>3.5</v>
      </c>
      <c r="E148" s="29">
        <f>IF(AND(K148&lt;&gt;"",K148&lt;&gt;"G"),K148-L148,"--")</f>
        <v>4</v>
      </c>
      <c r="F148" s="28" t="s">
        <v>194</v>
      </c>
      <c r="G148" s="26" t="s">
        <v>35</v>
      </c>
      <c r="H148" s="26" t="s">
        <v>21</v>
      </c>
      <c r="I148" s="52" t="s">
        <v>54</v>
      </c>
      <c r="J148" s="52" t="s">
        <v>54</v>
      </c>
      <c r="K148" s="27">
        <f>IF(R148="G","G",IF(R148&gt;=5,R148+U148*5,IF((R148+U148)&lt;=5,(R148+U148),(5+5*(R148+U148-5)))))</f>
        <v>5</v>
      </c>
      <c r="L148" s="29">
        <f ca="1">IF(G148="","--",IF(I148="",INDIRECT(G148),MIN(INDIRECT(G148),INDIRECT(LEFT(I148,2)),INDIRECT(RIGHT(I148,2))))+IF(J148="",INDIRECT(H148),MIN(INDIRECT(H148),INDIRECT(LEFT(J148,2)),INDIRECT(RIGHT(J148,2))))+Sta+IF(M148="",0,$G$2))</f>
        <v>1</v>
      </c>
      <c r="M148" s="29"/>
      <c r="N148" s="28" t="s">
        <v>426</v>
      </c>
      <c r="O148" s="28" t="s">
        <v>66</v>
      </c>
      <c r="P148" s="28" t="s">
        <v>55</v>
      </c>
      <c r="Q148" s="34"/>
      <c r="R148" s="28">
        <v>2</v>
      </c>
      <c r="S148" s="29">
        <v>0</v>
      </c>
      <c r="T148" s="29">
        <v>0</v>
      </c>
      <c r="U148" s="29">
        <f>S148+T148+VLOOKUP(N148,Ranges,2,FALSE)+VLOOKUP(O148,Durations,2,FALSE)+VLOOKUP(P148,Targets,2,FALSE)</f>
        <v>3</v>
      </c>
      <c r="V148" s="31"/>
    </row>
    <row r="149" spans="1:22" s="30" customFormat="1" ht="12.75">
      <c r="A149" s="24">
        <f t="shared" si="22"/>
      </c>
      <c r="B149" s="24" t="s">
        <v>52</v>
      </c>
      <c r="C149" s="29">
        <f t="shared" si="23"/>
        <v>1.5</v>
      </c>
      <c r="D149" s="29">
        <f t="shared" si="24"/>
        <v>8.5</v>
      </c>
      <c r="E149" s="29">
        <f t="shared" si="25"/>
        <v>9</v>
      </c>
      <c r="F149" s="28" t="s">
        <v>193</v>
      </c>
      <c r="G149" s="26" t="s">
        <v>35</v>
      </c>
      <c r="H149" s="26" t="s">
        <v>21</v>
      </c>
      <c r="I149" s="52" t="s">
        <v>54</v>
      </c>
      <c r="J149" s="52" t="s">
        <v>54</v>
      </c>
      <c r="K149" s="27">
        <f t="shared" si="14"/>
        <v>10</v>
      </c>
      <c r="L149" s="29">
        <f ca="1" t="shared" si="26"/>
        <v>1</v>
      </c>
      <c r="M149" s="29"/>
      <c r="N149" s="28" t="s">
        <v>59</v>
      </c>
      <c r="O149" s="28" t="s">
        <v>66</v>
      </c>
      <c r="P149" s="28" t="s">
        <v>55</v>
      </c>
      <c r="Q149" s="34"/>
      <c r="R149" s="28">
        <v>4</v>
      </c>
      <c r="S149" s="29">
        <v>0</v>
      </c>
      <c r="T149" s="29">
        <v>0</v>
      </c>
      <c r="U149" s="29">
        <f t="shared" si="27"/>
        <v>2</v>
      </c>
      <c r="V149" s="31"/>
    </row>
    <row r="150" spans="1:22" s="30" customFormat="1" ht="12.75">
      <c r="A150" s="24">
        <f>IF(OR(B150="Y",B150="M"),K150,"")</f>
      </c>
      <c r="B150" s="24" t="s">
        <v>52</v>
      </c>
      <c r="C150" s="29">
        <f>IF(G150="","--",(L150-Sta+Int)/2)</f>
        <v>1.5</v>
      </c>
      <c r="D150" s="29">
        <f>IF(AND(K150&lt;&gt;"",K150&lt;&gt;"G"),K150-C150,"--")</f>
        <v>13.5</v>
      </c>
      <c r="E150" s="29">
        <f>IF(AND(K150&lt;&gt;"",K150&lt;&gt;"G"),K150-L150,"--")</f>
        <v>14</v>
      </c>
      <c r="F150" s="28" t="s">
        <v>196</v>
      </c>
      <c r="G150" s="26" t="s">
        <v>35</v>
      </c>
      <c r="H150" s="26" t="s">
        <v>21</v>
      </c>
      <c r="I150" s="52" t="s">
        <v>54</v>
      </c>
      <c r="J150" s="52" t="s">
        <v>54</v>
      </c>
      <c r="K150" s="27">
        <f>IF(R150="G","G",IF(R150&gt;=5,R150+U150*5,IF((R150+U150)&lt;=5,(R150+U150),(5+5*(R150+U150-5)))))</f>
        <v>15</v>
      </c>
      <c r="L150" s="29">
        <f ca="1">IF(G150="","--",IF(I150="",INDIRECT(G150),MIN(INDIRECT(G150),INDIRECT(LEFT(I150,2)),INDIRECT(RIGHT(I150,2))))+IF(J150="",INDIRECT(H150),MIN(INDIRECT(H150),INDIRECT(LEFT(J150,2)),INDIRECT(RIGHT(J150,2))))+Sta+IF(M150="",0,$G$2))</f>
        <v>1</v>
      </c>
      <c r="M150" s="29"/>
      <c r="N150" s="28" t="s">
        <v>426</v>
      </c>
      <c r="O150" s="28" t="s">
        <v>66</v>
      </c>
      <c r="P150" s="28" t="s">
        <v>55</v>
      </c>
      <c r="Q150" s="34"/>
      <c r="R150" s="28">
        <v>4</v>
      </c>
      <c r="S150" s="29">
        <v>0</v>
      </c>
      <c r="T150" s="29">
        <v>0</v>
      </c>
      <c r="U150" s="29">
        <f>S150+T150+VLOOKUP(N150,Ranges,2,FALSE)+VLOOKUP(O150,Durations,2,FALSE)+VLOOKUP(P150,Targets,2,FALSE)</f>
        <v>3</v>
      </c>
      <c r="V150" s="94" t="s">
        <v>530</v>
      </c>
    </row>
    <row r="151" spans="1:22" s="30" customFormat="1" ht="12.75">
      <c r="A151" s="24">
        <f>IF(OR(B151="Y",B151="M"),K151,"")</f>
      </c>
      <c r="B151" s="24" t="s">
        <v>52</v>
      </c>
      <c r="C151" s="29">
        <f>IF(G151="","--",(L151-Sta+Int)/2)</f>
        <v>1.5</v>
      </c>
      <c r="D151" s="29">
        <f>IF(AND(K151&lt;&gt;"",K151&lt;&gt;"G"),K151-C151,"--")</f>
        <v>13.5</v>
      </c>
      <c r="E151" s="29">
        <f>IF(AND(K151&lt;&gt;"",K151&lt;&gt;"G"),K151-L151,"--")</f>
        <v>14</v>
      </c>
      <c r="F151" s="28" t="s">
        <v>197</v>
      </c>
      <c r="G151" s="26" t="s">
        <v>35</v>
      </c>
      <c r="H151" s="26" t="s">
        <v>21</v>
      </c>
      <c r="I151" s="52" t="s">
        <v>54</v>
      </c>
      <c r="J151" s="52" t="s">
        <v>54</v>
      </c>
      <c r="K151" s="27">
        <f>IF(R151="G","G",IF(R151&gt;=5,R151+U151*5,IF((R151+U151)&lt;=5,(R151+U151),(5+5*(R151+U151-5)))))</f>
        <v>15</v>
      </c>
      <c r="L151" s="29">
        <f ca="1">IF(G151="","--",IF(I151="",INDIRECT(G151),MIN(INDIRECT(G151),INDIRECT(LEFT(I151,2)),INDIRECT(RIGHT(I151,2))))+IF(J151="",INDIRECT(H151),MIN(INDIRECT(H151),INDIRECT(LEFT(J151,2)),INDIRECT(RIGHT(J151,2))))+Sta+IF(M151="",0,$G$2))</f>
        <v>1</v>
      </c>
      <c r="M151" s="29"/>
      <c r="N151" s="28" t="s">
        <v>93</v>
      </c>
      <c r="O151" s="28" t="s">
        <v>66</v>
      </c>
      <c r="P151" s="28" t="s">
        <v>55</v>
      </c>
      <c r="Q151" s="34"/>
      <c r="R151" s="28">
        <v>10</v>
      </c>
      <c r="S151" s="29">
        <v>0</v>
      </c>
      <c r="T151" s="29">
        <v>0</v>
      </c>
      <c r="U151" s="29">
        <f>S151+T151+VLOOKUP(N151,Ranges,2,FALSE)+VLOOKUP(O151,Durations,2,FALSE)+VLOOKUP(P151,Targets,2,FALSE)</f>
        <v>1</v>
      </c>
      <c r="V151" s="31" t="s">
        <v>531</v>
      </c>
    </row>
    <row r="152" spans="1:22" s="30" customFormat="1" ht="12.75">
      <c r="A152" s="24">
        <f>IF(OR(B152="Y",B152="M"),K152,"")</f>
      </c>
      <c r="B152" s="24" t="s">
        <v>52</v>
      </c>
      <c r="C152" s="29">
        <f>IF(G152="","--",(L152-Sta+Int)/2)</f>
        <v>1.5</v>
      </c>
      <c r="D152" s="29">
        <f>IF(AND(K152&lt;&gt;"",K152&lt;&gt;"G"),K152-C152,"--")</f>
        <v>13.5</v>
      </c>
      <c r="E152" s="29">
        <f>IF(AND(K152&lt;&gt;"",K152&lt;&gt;"G"),K152-L152,"--")</f>
        <v>14</v>
      </c>
      <c r="F152" s="28" t="s">
        <v>195</v>
      </c>
      <c r="G152" s="26" t="s">
        <v>35</v>
      </c>
      <c r="H152" s="26" t="s">
        <v>21</v>
      </c>
      <c r="I152" s="52" t="s">
        <v>54</v>
      </c>
      <c r="J152" s="52" t="s">
        <v>54</v>
      </c>
      <c r="K152" s="27">
        <f>IF(R152="G","G",IF(R152&gt;=5,R152+U152*5,IF((R152+U152)&lt;=5,(R152+U152),(5+5*(R152+U152-5)))))</f>
        <v>15</v>
      </c>
      <c r="L152" s="29">
        <f ca="1">IF(G152="","--",IF(I152="",INDIRECT(G152),MIN(INDIRECT(G152),INDIRECT(LEFT(I152,2)),INDIRECT(RIGHT(I152,2))))+IF(J152="",INDIRECT(H152),MIN(INDIRECT(H152),INDIRECT(LEFT(J152,2)),INDIRECT(RIGHT(J152,2))))+Sta+IF(M152="",0,$G$2))</f>
        <v>1</v>
      </c>
      <c r="M152" s="29"/>
      <c r="N152" s="28" t="s">
        <v>59</v>
      </c>
      <c r="O152" s="28" t="s">
        <v>76</v>
      </c>
      <c r="P152" s="28" t="s">
        <v>55</v>
      </c>
      <c r="Q152" s="34"/>
      <c r="R152" s="28">
        <v>10</v>
      </c>
      <c r="S152" s="29">
        <v>0</v>
      </c>
      <c r="T152" s="29">
        <v>0</v>
      </c>
      <c r="U152" s="29">
        <f>S152+T152+VLOOKUP(N152,Ranges,2,FALSE)+VLOOKUP(O152,Durations,2,FALSE)+VLOOKUP(P152,Targets,2,FALSE)</f>
        <v>1</v>
      </c>
      <c r="V152" s="31" t="s">
        <v>532</v>
      </c>
    </row>
    <row r="153" spans="1:22" s="30" customFormat="1" ht="12.75">
      <c r="A153" s="24">
        <f t="shared" si="22"/>
      </c>
      <c r="B153" s="24" t="s">
        <v>52</v>
      </c>
      <c r="C153" s="29">
        <f t="shared" si="23"/>
        <v>1.5</v>
      </c>
      <c r="D153" s="29">
        <f t="shared" si="24"/>
        <v>13.5</v>
      </c>
      <c r="E153" s="29">
        <f t="shared" si="25"/>
        <v>14</v>
      </c>
      <c r="F153" s="28" t="s">
        <v>198</v>
      </c>
      <c r="G153" s="26" t="s">
        <v>35</v>
      </c>
      <c r="H153" s="26" t="s">
        <v>21</v>
      </c>
      <c r="I153" s="52" t="s">
        <v>54</v>
      </c>
      <c r="J153" s="52" t="s">
        <v>54</v>
      </c>
      <c r="K153" s="27">
        <f t="shared" si="14"/>
        <v>15</v>
      </c>
      <c r="L153" s="29">
        <f ca="1" t="shared" si="26"/>
        <v>1</v>
      </c>
      <c r="M153" s="29"/>
      <c r="N153" s="28" t="s">
        <v>426</v>
      </c>
      <c r="O153" s="28" t="s">
        <v>66</v>
      </c>
      <c r="P153" s="28" t="s">
        <v>55</v>
      </c>
      <c r="Q153" s="34"/>
      <c r="R153" s="28">
        <v>4</v>
      </c>
      <c r="S153" s="29">
        <v>0</v>
      </c>
      <c r="T153" s="29">
        <v>0</v>
      </c>
      <c r="U153" s="29">
        <f t="shared" si="27"/>
        <v>3</v>
      </c>
      <c r="V153" s="31" t="s">
        <v>533</v>
      </c>
    </row>
    <row r="154" spans="1:22" s="30" customFormat="1" ht="12.75">
      <c r="A154" s="24">
        <f t="shared" si="22"/>
      </c>
      <c r="B154" s="24" t="s">
        <v>52</v>
      </c>
      <c r="C154" s="29">
        <f t="shared" si="23"/>
        <v>1.5</v>
      </c>
      <c r="D154" s="29">
        <f t="shared" si="24"/>
        <v>18.5</v>
      </c>
      <c r="E154" s="29">
        <f t="shared" si="25"/>
        <v>19</v>
      </c>
      <c r="F154" s="28" t="s">
        <v>199</v>
      </c>
      <c r="G154" s="26" t="s">
        <v>35</v>
      </c>
      <c r="H154" s="26" t="s">
        <v>21</v>
      </c>
      <c r="I154" s="52" t="s">
        <v>54</v>
      </c>
      <c r="J154" s="52" t="s">
        <v>54</v>
      </c>
      <c r="K154" s="27">
        <f t="shared" si="14"/>
        <v>20</v>
      </c>
      <c r="L154" s="29">
        <f ca="1" t="shared" si="26"/>
        <v>1</v>
      </c>
      <c r="M154" s="29"/>
      <c r="N154" s="28" t="s">
        <v>59</v>
      </c>
      <c r="O154" s="28" t="s">
        <v>76</v>
      </c>
      <c r="P154" s="28" t="s">
        <v>55</v>
      </c>
      <c r="Q154" s="34"/>
      <c r="R154" s="28">
        <v>15</v>
      </c>
      <c r="S154" s="29">
        <v>0</v>
      </c>
      <c r="T154" s="29">
        <v>0</v>
      </c>
      <c r="U154" s="29">
        <f t="shared" si="27"/>
        <v>1</v>
      </c>
      <c r="V154" s="31"/>
    </row>
    <row r="155" spans="1:22" s="30" customFormat="1" ht="12.75">
      <c r="A155" s="24">
        <f t="shared" si="22"/>
      </c>
      <c r="B155" s="24" t="s">
        <v>52</v>
      </c>
      <c r="C155" s="29">
        <f t="shared" si="23"/>
        <v>1.5</v>
      </c>
      <c r="D155" s="29">
        <f t="shared" si="24"/>
        <v>23.5</v>
      </c>
      <c r="E155" s="29">
        <f t="shared" si="25"/>
        <v>24</v>
      </c>
      <c r="F155" s="28" t="s">
        <v>200</v>
      </c>
      <c r="G155" s="26" t="s">
        <v>35</v>
      </c>
      <c r="H155" s="26" t="s">
        <v>21</v>
      </c>
      <c r="I155" s="52" t="s">
        <v>54</v>
      </c>
      <c r="J155" s="52" t="s">
        <v>54</v>
      </c>
      <c r="K155" s="27">
        <f t="shared" si="14"/>
        <v>25</v>
      </c>
      <c r="L155" s="29">
        <f ca="1" t="shared" si="26"/>
        <v>1</v>
      </c>
      <c r="M155" s="29"/>
      <c r="N155" s="28" t="s">
        <v>426</v>
      </c>
      <c r="O155" s="28" t="s">
        <v>66</v>
      </c>
      <c r="P155" s="28" t="s">
        <v>55</v>
      </c>
      <c r="Q155" s="34"/>
      <c r="R155" s="28">
        <v>10</v>
      </c>
      <c r="S155" s="29">
        <v>0</v>
      </c>
      <c r="T155" s="29">
        <v>0</v>
      </c>
      <c r="U155" s="29">
        <f t="shared" si="27"/>
        <v>3</v>
      </c>
      <c r="V155" s="31"/>
    </row>
    <row r="156" spans="1:22" s="30" customFormat="1" ht="12.75">
      <c r="A156" s="24">
        <f t="shared" si="22"/>
      </c>
      <c r="B156" s="24" t="s">
        <v>52</v>
      </c>
      <c r="C156" s="29">
        <f t="shared" si="23"/>
        <v>1.5</v>
      </c>
      <c r="D156" s="29">
        <f t="shared" si="24"/>
        <v>23.5</v>
      </c>
      <c r="E156" s="29">
        <f t="shared" si="25"/>
        <v>24</v>
      </c>
      <c r="F156" s="28" t="s">
        <v>201</v>
      </c>
      <c r="G156" s="26" t="s">
        <v>35</v>
      </c>
      <c r="H156" s="26" t="s">
        <v>21</v>
      </c>
      <c r="I156" s="52" t="s">
        <v>54</v>
      </c>
      <c r="J156" s="52" t="s">
        <v>54</v>
      </c>
      <c r="K156" s="27">
        <f t="shared" si="14"/>
        <v>25</v>
      </c>
      <c r="L156" s="29">
        <f ca="1" t="shared" si="26"/>
        <v>1</v>
      </c>
      <c r="M156" s="29"/>
      <c r="N156" s="28" t="s">
        <v>426</v>
      </c>
      <c r="O156" s="28" t="s">
        <v>66</v>
      </c>
      <c r="P156" s="28" t="s">
        <v>55</v>
      </c>
      <c r="Q156" s="34"/>
      <c r="R156" s="28">
        <v>10</v>
      </c>
      <c r="S156" s="29">
        <v>0</v>
      </c>
      <c r="T156" s="29">
        <v>0</v>
      </c>
      <c r="U156" s="29">
        <f t="shared" si="27"/>
        <v>3</v>
      </c>
      <c r="V156" s="31"/>
    </row>
    <row r="157" spans="1:22" s="30" customFormat="1" ht="12.75">
      <c r="A157" s="24">
        <f t="shared" si="22"/>
      </c>
      <c r="B157" s="24" t="s">
        <v>52</v>
      </c>
      <c r="C157" s="29">
        <f t="shared" si="23"/>
        <v>1.5</v>
      </c>
      <c r="D157" s="29">
        <f t="shared" si="24"/>
        <v>28.5</v>
      </c>
      <c r="E157" s="29">
        <f t="shared" si="25"/>
        <v>29</v>
      </c>
      <c r="F157" s="28" t="s">
        <v>202</v>
      </c>
      <c r="G157" s="26" t="s">
        <v>35</v>
      </c>
      <c r="H157" s="26" t="s">
        <v>21</v>
      </c>
      <c r="I157" s="52" t="s">
        <v>54</v>
      </c>
      <c r="J157" s="52" t="s">
        <v>54</v>
      </c>
      <c r="K157" s="27">
        <f t="shared" si="14"/>
        <v>30</v>
      </c>
      <c r="L157" s="29">
        <f ca="1" t="shared" si="26"/>
        <v>1</v>
      </c>
      <c r="M157" s="29"/>
      <c r="N157" s="28" t="s">
        <v>93</v>
      </c>
      <c r="O157" s="28" t="s">
        <v>76</v>
      </c>
      <c r="P157" s="28" t="s">
        <v>55</v>
      </c>
      <c r="Q157" s="34"/>
      <c r="R157" s="28">
        <v>30</v>
      </c>
      <c r="S157" s="29">
        <v>0</v>
      </c>
      <c r="T157" s="29">
        <v>0</v>
      </c>
      <c r="U157" s="29">
        <f t="shared" si="27"/>
        <v>0</v>
      </c>
      <c r="V157" s="31" t="s">
        <v>534</v>
      </c>
    </row>
    <row r="158" spans="1:22" s="30" customFormat="1" ht="12.75">
      <c r="A158" s="24">
        <f t="shared" si="22"/>
      </c>
      <c r="B158" s="24" t="s">
        <v>52</v>
      </c>
      <c r="C158" s="29">
        <f t="shared" si="23"/>
        <v>1.5</v>
      </c>
      <c r="D158" s="29">
        <f t="shared" si="24"/>
        <v>33.5</v>
      </c>
      <c r="E158" s="29">
        <f t="shared" si="25"/>
        <v>34</v>
      </c>
      <c r="F158" s="28" t="s">
        <v>203</v>
      </c>
      <c r="G158" s="26" t="s">
        <v>35</v>
      </c>
      <c r="H158" s="26" t="s">
        <v>21</v>
      </c>
      <c r="I158" s="52" t="s">
        <v>54</v>
      </c>
      <c r="J158" s="52" t="s">
        <v>54</v>
      </c>
      <c r="K158" s="27">
        <f aca="true" t="shared" si="28" ref="K158:K226">IF(R158="G","G",IF(R158&gt;=5,R158+U158*5,IF((R158+U158)&lt;=5,(R158+U158),(5+5*(R158+U158-5)))))</f>
        <v>35</v>
      </c>
      <c r="L158" s="29">
        <f ca="1" t="shared" si="26"/>
        <v>1</v>
      </c>
      <c r="M158" s="29"/>
      <c r="N158" s="28" t="s">
        <v>93</v>
      </c>
      <c r="O158" s="28" t="s">
        <v>76</v>
      </c>
      <c r="P158" s="28" t="s">
        <v>55</v>
      </c>
      <c r="Q158" s="34"/>
      <c r="R158" s="28">
        <v>35</v>
      </c>
      <c r="S158" s="29">
        <v>0</v>
      </c>
      <c r="T158" s="29">
        <v>0</v>
      </c>
      <c r="U158" s="29">
        <f t="shared" si="27"/>
        <v>0</v>
      </c>
      <c r="V158" s="31"/>
    </row>
    <row r="159" spans="1:22" s="30" customFormat="1" ht="12.75">
      <c r="A159" s="24">
        <f t="shared" si="22"/>
      </c>
      <c r="B159" s="24" t="s">
        <v>52</v>
      </c>
      <c r="C159" s="29">
        <f t="shared" si="23"/>
        <v>1.5</v>
      </c>
      <c r="D159" s="29">
        <f t="shared" si="24"/>
        <v>33.5</v>
      </c>
      <c r="E159" s="29">
        <f t="shared" si="25"/>
        <v>34</v>
      </c>
      <c r="F159" s="28" t="s">
        <v>204</v>
      </c>
      <c r="G159" s="26" t="s">
        <v>35</v>
      </c>
      <c r="H159" s="26" t="s">
        <v>21</v>
      </c>
      <c r="I159" s="52" t="s">
        <v>54</v>
      </c>
      <c r="J159" s="52" t="s">
        <v>25</v>
      </c>
      <c r="K159" s="27">
        <f t="shared" si="28"/>
        <v>35</v>
      </c>
      <c r="L159" s="29">
        <f ca="1" t="shared" si="26"/>
        <v>1</v>
      </c>
      <c r="M159" s="29"/>
      <c r="N159" s="28" t="s">
        <v>59</v>
      </c>
      <c r="O159" s="28" t="s">
        <v>101</v>
      </c>
      <c r="P159" s="28" t="s">
        <v>55</v>
      </c>
      <c r="Q159" s="34" t="s">
        <v>62</v>
      </c>
      <c r="R159" s="28">
        <v>10</v>
      </c>
      <c r="S159" s="29">
        <v>0</v>
      </c>
      <c r="T159" s="29">
        <v>0</v>
      </c>
      <c r="U159" s="29">
        <f t="shared" si="27"/>
        <v>5</v>
      </c>
      <c r="V159" s="31"/>
    </row>
    <row r="160" spans="1:22" s="30" customFormat="1" ht="12.75">
      <c r="A160" s="24">
        <f t="shared" si="22"/>
      </c>
      <c r="B160" s="24" t="s">
        <v>52</v>
      </c>
      <c r="C160" s="29">
        <f t="shared" si="23"/>
        <v>1.5</v>
      </c>
      <c r="D160" s="29">
        <f t="shared" si="24"/>
        <v>3.5</v>
      </c>
      <c r="E160" s="29">
        <f t="shared" si="25"/>
        <v>4</v>
      </c>
      <c r="F160" s="28" t="s">
        <v>205</v>
      </c>
      <c r="G160" s="26" t="s">
        <v>29</v>
      </c>
      <c r="H160" s="26" t="s">
        <v>22</v>
      </c>
      <c r="I160" s="52" t="s">
        <v>54</v>
      </c>
      <c r="J160" s="52" t="s">
        <v>54</v>
      </c>
      <c r="K160" s="27">
        <f t="shared" si="28"/>
        <v>5</v>
      </c>
      <c r="L160" s="29">
        <f ca="1" t="shared" si="26"/>
        <v>1</v>
      </c>
      <c r="M160" s="29"/>
      <c r="N160" s="28" t="s">
        <v>426</v>
      </c>
      <c r="O160" s="28" t="s">
        <v>94</v>
      </c>
      <c r="P160" s="28" t="s">
        <v>55</v>
      </c>
      <c r="Q160" s="34"/>
      <c r="R160" s="28">
        <v>1</v>
      </c>
      <c r="S160" s="29">
        <v>0</v>
      </c>
      <c r="T160" s="29">
        <v>0</v>
      </c>
      <c r="U160" s="29">
        <f t="shared" si="27"/>
        <v>4</v>
      </c>
      <c r="V160" s="31" t="s">
        <v>535</v>
      </c>
    </row>
    <row r="161" spans="1:22" s="30" customFormat="1" ht="12.75">
      <c r="A161" s="24">
        <f t="shared" si="22"/>
      </c>
      <c r="B161" s="24" t="s">
        <v>52</v>
      </c>
      <c r="C161" s="29">
        <f t="shared" si="23"/>
        <v>1.5</v>
      </c>
      <c r="D161" s="29">
        <f t="shared" si="24"/>
        <v>13.5</v>
      </c>
      <c r="E161" s="29">
        <f t="shared" si="25"/>
        <v>14</v>
      </c>
      <c r="F161" s="28" t="s">
        <v>206</v>
      </c>
      <c r="G161" s="26" t="s">
        <v>29</v>
      </c>
      <c r="H161" s="26" t="s">
        <v>22</v>
      </c>
      <c r="I161" s="52" t="s">
        <v>54</v>
      </c>
      <c r="J161" s="52" t="s">
        <v>54</v>
      </c>
      <c r="K161" s="27">
        <f t="shared" si="28"/>
        <v>15</v>
      </c>
      <c r="L161" s="29">
        <f ca="1" t="shared" si="26"/>
        <v>1</v>
      </c>
      <c r="M161" s="29"/>
      <c r="N161" s="28" t="s">
        <v>426</v>
      </c>
      <c r="O161" s="28" t="s">
        <v>94</v>
      </c>
      <c r="P161" s="28" t="s">
        <v>85</v>
      </c>
      <c r="Q161" s="34"/>
      <c r="R161" s="28">
        <v>1</v>
      </c>
      <c r="S161" s="29">
        <v>0</v>
      </c>
      <c r="T161" s="29">
        <v>0</v>
      </c>
      <c r="U161" s="29">
        <f t="shared" si="27"/>
        <v>6</v>
      </c>
      <c r="V161" s="31" t="s">
        <v>536</v>
      </c>
    </row>
    <row r="162" spans="1:22" s="30" customFormat="1" ht="12.75">
      <c r="A162" s="24">
        <f>IF(OR(B162="Y",B162="M"),K162,"")</f>
      </c>
      <c r="B162" s="24" t="s">
        <v>52</v>
      </c>
      <c r="C162" s="29">
        <f>IF(G162="","--",(L162-Sta+Int)/2)</f>
        <v>1.5</v>
      </c>
      <c r="D162" s="29">
        <f>IF(AND(K162&lt;&gt;"",K162&lt;&gt;"G"),K162-C162,"--")</f>
        <v>18.5</v>
      </c>
      <c r="E162" s="29">
        <f>IF(AND(K162&lt;&gt;"",K162&lt;&gt;"G"),K162-L162,"--")</f>
        <v>19</v>
      </c>
      <c r="F162" s="28" t="s">
        <v>210</v>
      </c>
      <c r="G162" s="26" t="s">
        <v>29</v>
      </c>
      <c r="H162" s="26" t="s">
        <v>22</v>
      </c>
      <c r="I162" s="52" t="s">
        <v>54</v>
      </c>
      <c r="J162" s="52" t="s">
        <v>54</v>
      </c>
      <c r="K162" s="27">
        <f>IF(R162="G","G",IF(R162&gt;=5,R162+U162*5,IF((R162+U162)&lt;=5,(R162+U162),(5+5*(R162+U162-5)))))</f>
        <v>20</v>
      </c>
      <c r="L162" s="29">
        <f ca="1">IF(G162="","--",IF(I162="",INDIRECT(G162),MIN(INDIRECT(G162),INDIRECT(LEFT(I162,2)),INDIRECT(RIGHT(I162,2))))+IF(J162="",INDIRECT(H162),MIN(INDIRECT(H162),INDIRECT(LEFT(J162,2)),INDIRECT(RIGHT(J162,2))))+Sta+IF(M162="",0,$G$2))</f>
        <v>1</v>
      </c>
      <c r="M162" s="29"/>
      <c r="N162" s="28" t="s">
        <v>59</v>
      </c>
      <c r="O162" s="28" t="s">
        <v>94</v>
      </c>
      <c r="P162" s="28" t="s">
        <v>55</v>
      </c>
      <c r="Q162" s="34"/>
      <c r="R162" s="28">
        <v>3</v>
      </c>
      <c r="S162" s="29">
        <v>2</v>
      </c>
      <c r="T162" s="29">
        <v>0</v>
      </c>
      <c r="U162" s="29">
        <f>S162+T162+VLOOKUP(N162,Ranges,2,FALSE)+VLOOKUP(O162,Durations,2,FALSE)+VLOOKUP(P162,Targets,2,FALSE)</f>
        <v>5</v>
      </c>
      <c r="V162" s="31" t="s">
        <v>537</v>
      </c>
    </row>
    <row r="163" spans="1:22" s="30" customFormat="1" ht="12.75">
      <c r="A163" s="24">
        <f t="shared" si="22"/>
      </c>
      <c r="B163" s="24" t="s">
        <v>52</v>
      </c>
      <c r="C163" s="29">
        <f t="shared" si="23"/>
        <v>1.5</v>
      </c>
      <c r="D163" s="29">
        <f t="shared" si="24"/>
        <v>18.5</v>
      </c>
      <c r="E163" s="29">
        <f t="shared" si="25"/>
        <v>19</v>
      </c>
      <c r="F163" s="28" t="s">
        <v>207</v>
      </c>
      <c r="G163" s="26" t="s">
        <v>29</v>
      </c>
      <c r="H163" s="26" t="s">
        <v>22</v>
      </c>
      <c r="I163" s="52" t="s">
        <v>54</v>
      </c>
      <c r="J163" s="52" t="s">
        <v>54</v>
      </c>
      <c r="K163" s="27">
        <f t="shared" si="28"/>
        <v>20</v>
      </c>
      <c r="L163" s="29">
        <f ca="1" t="shared" si="26"/>
        <v>1</v>
      </c>
      <c r="M163" s="29"/>
      <c r="N163" s="28" t="s">
        <v>426</v>
      </c>
      <c r="O163" s="28" t="s">
        <v>94</v>
      </c>
      <c r="P163" s="28" t="s">
        <v>85</v>
      </c>
      <c r="Q163" s="34"/>
      <c r="R163" s="28">
        <v>1</v>
      </c>
      <c r="S163" s="29">
        <v>1</v>
      </c>
      <c r="T163" s="29">
        <v>0</v>
      </c>
      <c r="U163" s="29">
        <f t="shared" si="27"/>
        <v>7</v>
      </c>
      <c r="V163" s="31" t="s">
        <v>512</v>
      </c>
    </row>
    <row r="164" spans="1:22" s="30" customFormat="1" ht="12.75">
      <c r="A164" s="24">
        <f t="shared" si="22"/>
      </c>
      <c r="B164" s="24" t="s">
        <v>52</v>
      </c>
      <c r="C164" s="29">
        <f t="shared" si="23"/>
        <v>1.5</v>
      </c>
      <c r="D164" s="29">
        <f t="shared" si="24"/>
        <v>23.5</v>
      </c>
      <c r="E164" s="29">
        <f t="shared" si="25"/>
        <v>24</v>
      </c>
      <c r="F164" s="28" t="s">
        <v>209</v>
      </c>
      <c r="G164" s="26" t="s">
        <v>29</v>
      </c>
      <c r="H164" s="26" t="s">
        <v>22</v>
      </c>
      <c r="I164" s="52" t="s">
        <v>54</v>
      </c>
      <c r="J164" s="52" t="s">
        <v>54</v>
      </c>
      <c r="K164" s="27">
        <f t="shared" si="28"/>
        <v>25</v>
      </c>
      <c r="L164" s="29">
        <f ca="1" t="shared" si="26"/>
        <v>1</v>
      </c>
      <c r="M164" s="29"/>
      <c r="N164" s="28" t="s">
        <v>426</v>
      </c>
      <c r="O164" s="28" t="s">
        <v>94</v>
      </c>
      <c r="P164" s="28" t="s">
        <v>55</v>
      </c>
      <c r="Q164" s="34"/>
      <c r="R164" s="28">
        <v>3</v>
      </c>
      <c r="S164" s="29">
        <v>2</v>
      </c>
      <c r="T164" s="29">
        <v>0</v>
      </c>
      <c r="U164" s="29">
        <f t="shared" si="27"/>
        <v>6</v>
      </c>
      <c r="V164" s="31" t="s">
        <v>538</v>
      </c>
    </row>
    <row r="165" spans="1:22" s="30" customFormat="1" ht="12.75">
      <c r="A165" s="24">
        <f t="shared" si="22"/>
      </c>
      <c r="B165" s="24" t="s">
        <v>52</v>
      </c>
      <c r="C165" s="29">
        <f t="shared" si="23"/>
        <v>1.5</v>
      </c>
      <c r="D165" s="29">
        <f t="shared" si="24"/>
        <v>33.5</v>
      </c>
      <c r="E165" s="29">
        <f t="shared" si="25"/>
        <v>34</v>
      </c>
      <c r="F165" s="28" t="s">
        <v>211</v>
      </c>
      <c r="G165" s="26" t="s">
        <v>29</v>
      </c>
      <c r="H165" s="26" t="s">
        <v>22</v>
      </c>
      <c r="I165" s="52" t="s">
        <v>54</v>
      </c>
      <c r="J165" s="52" t="s">
        <v>54</v>
      </c>
      <c r="K165" s="27">
        <f t="shared" si="28"/>
        <v>35</v>
      </c>
      <c r="L165" s="29">
        <f ca="1" t="shared" si="26"/>
        <v>1</v>
      </c>
      <c r="M165" s="29"/>
      <c r="N165" s="28" t="s">
        <v>59</v>
      </c>
      <c r="O165" s="28" t="s">
        <v>101</v>
      </c>
      <c r="P165" s="28" t="s">
        <v>61</v>
      </c>
      <c r="Q165" s="34" t="s">
        <v>62</v>
      </c>
      <c r="R165" s="28">
        <v>1</v>
      </c>
      <c r="S165" s="29">
        <v>1</v>
      </c>
      <c r="T165" s="29">
        <v>0</v>
      </c>
      <c r="U165" s="29">
        <f t="shared" si="27"/>
        <v>10</v>
      </c>
      <c r="V165" s="31"/>
    </row>
    <row r="166" spans="1:22" s="30" customFormat="1" ht="12.75">
      <c r="A166" s="24">
        <f t="shared" si="22"/>
      </c>
      <c r="B166" s="24" t="s">
        <v>52</v>
      </c>
      <c r="C166" s="29">
        <f t="shared" si="23"/>
        <v>1.5</v>
      </c>
      <c r="D166" s="29">
        <f t="shared" si="24"/>
        <v>2.5</v>
      </c>
      <c r="E166" s="29">
        <f t="shared" si="25"/>
        <v>3</v>
      </c>
      <c r="F166" s="28" t="s">
        <v>212</v>
      </c>
      <c r="G166" s="26" t="s">
        <v>30</v>
      </c>
      <c r="H166" s="26" t="s">
        <v>22</v>
      </c>
      <c r="I166" s="52" t="s">
        <v>54</v>
      </c>
      <c r="J166" s="52" t="s">
        <v>54</v>
      </c>
      <c r="K166" s="27">
        <f t="shared" si="28"/>
        <v>4</v>
      </c>
      <c r="L166" s="29">
        <f ca="1" t="shared" si="26"/>
        <v>1</v>
      </c>
      <c r="M166" s="29"/>
      <c r="N166" s="28" t="s">
        <v>59</v>
      </c>
      <c r="O166" s="28" t="s">
        <v>76</v>
      </c>
      <c r="P166" s="28" t="s">
        <v>55</v>
      </c>
      <c r="Q166" s="34"/>
      <c r="R166" s="28">
        <v>3</v>
      </c>
      <c r="S166" s="29">
        <v>0</v>
      </c>
      <c r="T166" s="29">
        <v>0</v>
      </c>
      <c r="U166" s="29">
        <f t="shared" si="27"/>
        <v>1</v>
      </c>
      <c r="V166" s="31"/>
    </row>
    <row r="167" spans="1:22" s="30" customFormat="1" ht="12.75">
      <c r="A167" s="24">
        <f>IF(OR(B167="Y",B167="M"),K167,"")</f>
      </c>
      <c r="B167" s="24" t="s">
        <v>52</v>
      </c>
      <c r="C167" s="29">
        <f>IF(G167="","--",(L167-Sta+Int)/2)</f>
        <v>1.5</v>
      </c>
      <c r="D167" s="29">
        <f>IF(AND(K167&lt;&gt;"",K167&lt;&gt;"G"),K167-C167,"--")</f>
        <v>3.5</v>
      </c>
      <c r="E167" s="29">
        <f>IF(AND(K167&lt;&gt;"",K167&lt;&gt;"G"),K167-L167,"--")</f>
        <v>4</v>
      </c>
      <c r="F167" s="28" t="s">
        <v>214</v>
      </c>
      <c r="G167" s="26" t="s">
        <v>30</v>
      </c>
      <c r="H167" s="26" t="s">
        <v>22</v>
      </c>
      <c r="I167" s="52" t="s">
        <v>54</v>
      </c>
      <c r="J167" s="52" t="s">
        <v>54</v>
      </c>
      <c r="K167" s="27">
        <f>IF(R167="G","G",IF(R167&gt;=5,R167+U167*5,IF((R167+U167)&lt;=5,(R167+U167),(5+5*(R167+U167-5)))))</f>
        <v>5</v>
      </c>
      <c r="L167" s="29">
        <f ca="1">IF(G167="","--",IF(I167="",INDIRECT(G167),MIN(INDIRECT(G167),INDIRECT(LEFT(I167,2)),INDIRECT(RIGHT(I167,2))))+IF(J167="",INDIRECT(H167),MIN(INDIRECT(H167),INDIRECT(LEFT(J167,2)),INDIRECT(RIGHT(J167,2))))+Sta+IF(M167="",0,$G$2))</f>
        <v>1</v>
      </c>
      <c r="M167" s="29"/>
      <c r="N167" s="28" t="s">
        <v>93</v>
      </c>
      <c r="O167" s="28" t="s">
        <v>66</v>
      </c>
      <c r="P167" s="28" t="s">
        <v>430</v>
      </c>
      <c r="Q167" s="34"/>
      <c r="R167" s="28">
        <v>2</v>
      </c>
      <c r="S167" s="29">
        <v>0</v>
      </c>
      <c r="T167" s="29">
        <v>0</v>
      </c>
      <c r="U167" s="29">
        <f>S167+T167+VLOOKUP(N167,Ranges,2,FALSE)+VLOOKUP(O167,Durations,2,FALSE)+VLOOKUP(P167,Targets,2,FALSE)</f>
        <v>3</v>
      </c>
      <c r="V167" s="31"/>
    </row>
    <row r="168" spans="1:22" s="30" customFormat="1" ht="12.75">
      <c r="A168" s="24">
        <f t="shared" si="22"/>
      </c>
      <c r="B168" s="24" t="s">
        <v>52</v>
      </c>
      <c r="C168" s="29">
        <f t="shared" si="23"/>
        <v>1.5</v>
      </c>
      <c r="D168" s="29">
        <f t="shared" si="24"/>
        <v>8.5</v>
      </c>
      <c r="E168" s="29">
        <f t="shared" si="25"/>
        <v>9</v>
      </c>
      <c r="F168" s="28" t="s">
        <v>213</v>
      </c>
      <c r="G168" s="26" t="s">
        <v>30</v>
      </c>
      <c r="H168" s="26" t="s">
        <v>22</v>
      </c>
      <c r="I168" s="52" t="s">
        <v>54</v>
      </c>
      <c r="J168" s="52" t="s">
        <v>54</v>
      </c>
      <c r="K168" s="27">
        <f t="shared" si="28"/>
        <v>10</v>
      </c>
      <c r="L168" s="29">
        <f ca="1" t="shared" si="26"/>
        <v>1</v>
      </c>
      <c r="M168" s="29"/>
      <c r="N168" s="28" t="s">
        <v>59</v>
      </c>
      <c r="O168" s="28" t="s">
        <v>94</v>
      </c>
      <c r="P168" s="28" t="s">
        <v>85</v>
      </c>
      <c r="Q168" s="34"/>
      <c r="R168" s="28">
        <v>1</v>
      </c>
      <c r="S168" s="29">
        <v>0</v>
      </c>
      <c r="T168" s="29">
        <v>0</v>
      </c>
      <c r="U168" s="29">
        <f t="shared" si="27"/>
        <v>5</v>
      </c>
      <c r="V168" s="31"/>
    </row>
    <row r="169" spans="1:22" s="30" customFormat="1" ht="12.75">
      <c r="A169" s="24">
        <f t="shared" si="22"/>
      </c>
      <c r="B169" s="24" t="s">
        <v>52</v>
      </c>
      <c r="C169" s="29">
        <f t="shared" si="23"/>
        <v>1.5</v>
      </c>
      <c r="D169" s="29">
        <f t="shared" si="24"/>
        <v>13.5</v>
      </c>
      <c r="E169" s="29">
        <f t="shared" si="25"/>
        <v>14</v>
      </c>
      <c r="F169" s="28" t="s">
        <v>215</v>
      </c>
      <c r="G169" s="26" t="s">
        <v>30</v>
      </c>
      <c r="H169" s="26" t="s">
        <v>22</v>
      </c>
      <c r="I169" s="52" t="s">
        <v>54</v>
      </c>
      <c r="J169" s="52" t="s">
        <v>54</v>
      </c>
      <c r="K169" s="27">
        <f t="shared" si="28"/>
        <v>15</v>
      </c>
      <c r="L169" s="29">
        <f ca="1" t="shared" si="26"/>
        <v>1</v>
      </c>
      <c r="M169" s="29"/>
      <c r="N169" s="28" t="s">
        <v>93</v>
      </c>
      <c r="O169" s="28" t="s">
        <v>94</v>
      </c>
      <c r="P169" s="28" t="s">
        <v>432</v>
      </c>
      <c r="Q169" s="34"/>
      <c r="R169" s="28">
        <v>2</v>
      </c>
      <c r="S169" s="29">
        <v>0</v>
      </c>
      <c r="T169" s="29">
        <v>0</v>
      </c>
      <c r="U169" s="29">
        <f t="shared" si="27"/>
        <v>5</v>
      </c>
      <c r="V169" s="94" t="s">
        <v>539</v>
      </c>
    </row>
    <row r="170" spans="1:22" s="30" customFormat="1" ht="12.75">
      <c r="A170" s="24">
        <f t="shared" si="22"/>
      </c>
      <c r="B170" s="24" t="s">
        <v>52</v>
      </c>
      <c r="C170" s="29">
        <f t="shared" si="23"/>
        <v>1.5</v>
      </c>
      <c r="D170" s="29">
        <f t="shared" si="24"/>
        <v>23.5</v>
      </c>
      <c r="E170" s="29">
        <f t="shared" si="25"/>
        <v>24</v>
      </c>
      <c r="F170" s="28" t="s">
        <v>216</v>
      </c>
      <c r="G170" s="26" t="s">
        <v>30</v>
      </c>
      <c r="H170" s="26" t="s">
        <v>22</v>
      </c>
      <c r="I170" s="52" t="s">
        <v>54</v>
      </c>
      <c r="J170" s="52" t="s">
        <v>54</v>
      </c>
      <c r="K170" s="27">
        <f t="shared" si="28"/>
        <v>25</v>
      </c>
      <c r="L170" s="29">
        <f ca="1" t="shared" si="26"/>
        <v>1</v>
      </c>
      <c r="M170" s="29"/>
      <c r="N170" s="28" t="s">
        <v>59</v>
      </c>
      <c r="O170" s="28" t="s">
        <v>66</v>
      </c>
      <c r="P170" s="28" t="s">
        <v>55</v>
      </c>
      <c r="Q170" s="34"/>
      <c r="R170" s="28">
        <v>15</v>
      </c>
      <c r="S170" s="29">
        <v>0</v>
      </c>
      <c r="T170" s="29">
        <v>0</v>
      </c>
      <c r="U170" s="29">
        <f t="shared" si="27"/>
        <v>2</v>
      </c>
      <c r="V170" s="31"/>
    </row>
    <row r="171" spans="1:22" s="30" customFormat="1" ht="12.75">
      <c r="A171" s="24">
        <f>IF(OR(B171="Y",B171="M"),K171,"")</f>
      </c>
      <c r="B171" s="24" t="s">
        <v>52</v>
      </c>
      <c r="C171" s="29">
        <f>IF(G171="","--",(L171-Sta+Int)/2)</f>
        <v>1.5</v>
      </c>
      <c r="D171" s="29">
        <f>IF(AND(K171&lt;&gt;"",K171&lt;&gt;"G"),K171-C171,"--")</f>
        <v>3.5</v>
      </c>
      <c r="E171" s="29">
        <f>IF(AND(K171&lt;&gt;"",K171&lt;&gt;"G"),K171-L171,"--")</f>
        <v>4</v>
      </c>
      <c r="F171" s="28" t="s">
        <v>446</v>
      </c>
      <c r="G171" s="26" t="s">
        <v>32</v>
      </c>
      <c r="H171" s="26" t="s">
        <v>22</v>
      </c>
      <c r="I171" s="52" t="s">
        <v>54</v>
      </c>
      <c r="J171" s="52" t="s">
        <v>54</v>
      </c>
      <c r="K171" s="27">
        <f>IF(R171="G","G",IF(R171&gt;=5,R171+U171*5,IF((R171+U171)&lt;=5,(R171+U171),(5+5*(R171+U171-5)))))</f>
        <v>5</v>
      </c>
      <c r="L171" s="29">
        <f ca="1">IF(G171="","--",IF(I171="",INDIRECT(G171),MIN(INDIRECT(G171),INDIRECT(LEFT(I171,2)),INDIRECT(RIGHT(I171,2))))+IF(J171="",INDIRECT(H171),MIN(INDIRECT(H171),INDIRECT(LEFT(J171,2)),INDIRECT(RIGHT(J171,2))))+Sta+IF(M171="",0,$G$2))</f>
        <v>1</v>
      </c>
      <c r="M171" s="29"/>
      <c r="N171" s="28" t="s">
        <v>59</v>
      </c>
      <c r="O171" s="28" t="s">
        <v>265</v>
      </c>
      <c r="P171" s="28" t="s">
        <v>55</v>
      </c>
      <c r="Q171" s="34"/>
      <c r="R171" s="28">
        <v>3</v>
      </c>
      <c r="S171" s="29">
        <v>0</v>
      </c>
      <c r="T171" s="29">
        <v>0</v>
      </c>
      <c r="U171" s="29">
        <f>S171+T171+VLOOKUP(N171,Ranges,2,FALSE)+VLOOKUP(O171,Durations,2,FALSE)+VLOOKUP(P171,Targets,2,FALSE)</f>
        <v>2</v>
      </c>
      <c r="V171" s="31"/>
    </row>
    <row r="172" spans="1:22" s="30" customFormat="1" ht="12.75">
      <c r="A172" s="24">
        <f t="shared" si="22"/>
      </c>
      <c r="B172" s="24" t="s">
        <v>52</v>
      </c>
      <c r="C172" s="29">
        <f t="shared" si="23"/>
        <v>1.5</v>
      </c>
      <c r="D172" s="29">
        <f t="shared" si="24"/>
        <v>8.5</v>
      </c>
      <c r="E172" s="29">
        <f t="shared" si="25"/>
        <v>9</v>
      </c>
      <c r="F172" s="28" t="s">
        <v>218</v>
      </c>
      <c r="G172" s="26" t="s">
        <v>32</v>
      </c>
      <c r="H172" s="26" t="s">
        <v>22</v>
      </c>
      <c r="I172" s="52" t="s">
        <v>54</v>
      </c>
      <c r="J172" s="52" t="s">
        <v>54</v>
      </c>
      <c r="K172" s="27">
        <f t="shared" si="28"/>
        <v>10</v>
      </c>
      <c r="L172" s="29">
        <f ca="1" t="shared" si="26"/>
        <v>1</v>
      </c>
      <c r="M172" s="29"/>
      <c r="N172" s="28" t="s">
        <v>59</v>
      </c>
      <c r="O172" s="28" t="s">
        <v>94</v>
      </c>
      <c r="P172" s="28" t="s">
        <v>55</v>
      </c>
      <c r="Q172" s="34"/>
      <c r="R172" s="28">
        <v>3</v>
      </c>
      <c r="S172" s="29">
        <v>0</v>
      </c>
      <c r="T172" s="29">
        <v>0</v>
      </c>
      <c r="U172" s="29">
        <f t="shared" si="27"/>
        <v>3</v>
      </c>
      <c r="V172" s="31" t="s">
        <v>540</v>
      </c>
    </row>
    <row r="173" spans="1:22" s="30" customFormat="1" ht="12.75">
      <c r="A173" s="24">
        <f>IF(OR(B173="Y",B173="M"),K173,"")</f>
      </c>
      <c r="B173" s="24" t="s">
        <v>52</v>
      </c>
      <c r="C173" s="29">
        <f>IF(G173="","--",(L173-Sta+Int)/2)</f>
        <v>1.5</v>
      </c>
      <c r="D173" s="29">
        <f>IF(AND(K173&lt;&gt;"",K173&lt;&gt;"G"),K173-C173,"--")</f>
        <v>8.5</v>
      </c>
      <c r="E173" s="29">
        <f>IF(AND(K173&lt;&gt;"",K173&lt;&gt;"G"),K173-L173,"--")</f>
        <v>9</v>
      </c>
      <c r="F173" s="28" t="s">
        <v>223</v>
      </c>
      <c r="G173" s="26" t="s">
        <v>32</v>
      </c>
      <c r="H173" s="26" t="s">
        <v>22</v>
      </c>
      <c r="I173" s="52" t="s">
        <v>35</v>
      </c>
      <c r="J173" s="52" t="s">
        <v>54</v>
      </c>
      <c r="K173" s="27">
        <f>IF(R173="G","G",IF(R173&gt;=5,R173+U173*5,IF((R173+U173)&lt;=5,(R173+U173),(5+5*(R173+U173-5)))))</f>
        <v>10</v>
      </c>
      <c r="L173" s="29">
        <f ca="1">IF(G173="","--",IF(I173="",INDIRECT(G173),MIN(INDIRECT(G173),INDIRECT(LEFT(I173,2)),INDIRECT(RIGHT(I173,2))))+IF(J173="",INDIRECT(H173),MIN(INDIRECT(H173),INDIRECT(LEFT(J173,2)),INDIRECT(RIGHT(J173,2))))+Sta+IF(M173="",0,$G$2))</f>
        <v>1</v>
      </c>
      <c r="M173" s="29"/>
      <c r="N173" s="28" t="s">
        <v>426</v>
      </c>
      <c r="O173" s="28" t="s">
        <v>76</v>
      </c>
      <c r="P173" s="28" t="s">
        <v>55</v>
      </c>
      <c r="Q173" s="34"/>
      <c r="R173" s="28">
        <v>3</v>
      </c>
      <c r="S173" s="29">
        <v>0</v>
      </c>
      <c r="T173" s="29">
        <v>1</v>
      </c>
      <c r="U173" s="29">
        <f>S173+T173+VLOOKUP(N173,Ranges,2,FALSE)+VLOOKUP(O173,Durations,2,FALSE)+VLOOKUP(P173,Targets,2,FALSE)</f>
        <v>3</v>
      </c>
      <c r="V173" s="31" t="s">
        <v>541</v>
      </c>
    </row>
    <row r="174" spans="1:22" s="30" customFormat="1" ht="12.75">
      <c r="A174" s="24">
        <f t="shared" si="22"/>
      </c>
      <c r="B174" s="24" t="s">
        <v>52</v>
      </c>
      <c r="C174" s="29">
        <f t="shared" si="23"/>
        <v>1.5</v>
      </c>
      <c r="D174" s="29">
        <f t="shared" si="24"/>
        <v>13.5</v>
      </c>
      <c r="E174" s="29">
        <f t="shared" si="25"/>
        <v>14</v>
      </c>
      <c r="F174" s="28" t="s">
        <v>220</v>
      </c>
      <c r="G174" s="26" t="s">
        <v>32</v>
      </c>
      <c r="H174" s="26" t="s">
        <v>22</v>
      </c>
      <c r="I174" s="52" t="s">
        <v>54</v>
      </c>
      <c r="J174" s="52" t="s">
        <v>26</v>
      </c>
      <c r="K174" s="27">
        <f t="shared" si="28"/>
        <v>15</v>
      </c>
      <c r="L174" s="29">
        <f ca="1" t="shared" si="26"/>
        <v>1</v>
      </c>
      <c r="M174" s="29"/>
      <c r="N174" s="28" t="s">
        <v>59</v>
      </c>
      <c r="O174" s="28" t="s">
        <v>94</v>
      </c>
      <c r="P174" s="28" t="s">
        <v>55</v>
      </c>
      <c r="Q174" s="34"/>
      <c r="R174" s="28">
        <v>4</v>
      </c>
      <c r="S174" s="29">
        <v>0</v>
      </c>
      <c r="T174" s="29">
        <v>0</v>
      </c>
      <c r="U174" s="29">
        <f t="shared" si="27"/>
        <v>3</v>
      </c>
      <c r="V174" s="31"/>
    </row>
    <row r="175" spans="1:22" s="30" customFormat="1" ht="12.75">
      <c r="A175" s="24">
        <f t="shared" si="22"/>
      </c>
      <c r="B175" s="24" t="s">
        <v>52</v>
      </c>
      <c r="C175" s="29">
        <f t="shared" si="23"/>
        <v>1.5</v>
      </c>
      <c r="D175" s="29">
        <f t="shared" si="24"/>
        <v>18.5</v>
      </c>
      <c r="E175" s="29">
        <f t="shared" si="25"/>
        <v>19</v>
      </c>
      <c r="F175" s="28" t="s">
        <v>221</v>
      </c>
      <c r="G175" s="46" t="s">
        <v>32</v>
      </c>
      <c r="H175" s="46" t="s">
        <v>22</v>
      </c>
      <c r="I175" s="53" t="s">
        <v>54</v>
      </c>
      <c r="J175" s="53" t="s">
        <v>26</v>
      </c>
      <c r="K175" s="27">
        <f t="shared" si="28"/>
        <v>20</v>
      </c>
      <c r="L175" s="29">
        <f ca="1" t="shared" si="26"/>
        <v>1</v>
      </c>
      <c r="M175" s="29"/>
      <c r="N175" s="28" t="s">
        <v>59</v>
      </c>
      <c r="O175" s="28" t="s">
        <v>94</v>
      </c>
      <c r="P175" s="28" t="s">
        <v>55</v>
      </c>
      <c r="Q175" s="34"/>
      <c r="R175" s="28">
        <v>4</v>
      </c>
      <c r="S175" s="29">
        <v>1</v>
      </c>
      <c r="T175" s="29">
        <v>0</v>
      </c>
      <c r="U175" s="29">
        <f t="shared" si="27"/>
        <v>4</v>
      </c>
      <c r="V175" s="31"/>
    </row>
    <row r="176" spans="1:22" s="30" customFormat="1" ht="12.75">
      <c r="A176" s="24">
        <f t="shared" si="22"/>
      </c>
      <c r="B176" s="24" t="s">
        <v>52</v>
      </c>
      <c r="C176" s="29">
        <f t="shared" si="23"/>
        <v>1.5</v>
      </c>
      <c r="D176" s="29">
        <f t="shared" si="24"/>
        <v>23.5</v>
      </c>
      <c r="E176" s="29">
        <f t="shared" si="25"/>
        <v>24</v>
      </c>
      <c r="F176" s="28" t="s">
        <v>224</v>
      </c>
      <c r="G176" s="26" t="s">
        <v>32</v>
      </c>
      <c r="H176" s="26" t="s">
        <v>22</v>
      </c>
      <c r="I176" s="52" t="s">
        <v>54</v>
      </c>
      <c r="J176" s="52" t="s">
        <v>25</v>
      </c>
      <c r="K176" s="27">
        <f t="shared" si="28"/>
        <v>25</v>
      </c>
      <c r="L176" s="29">
        <f ca="1" t="shared" si="26"/>
        <v>1</v>
      </c>
      <c r="M176" s="29"/>
      <c r="N176" s="28" t="s">
        <v>59</v>
      </c>
      <c r="O176" s="28" t="s">
        <v>94</v>
      </c>
      <c r="P176" s="28" t="s">
        <v>55</v>
      </c>
      <c r="Q176" s="34"/>
      <c r="R176" s="28">
        <v>4</v>
      </c>
      <c r="S176" s="29">
        <v>2</v>
      </c>
      <c r="T176" s="29">
        <v>0</v>
      </c>
      <c r="U176" s="29">
        <f t="shared" si="27"/>
        <v>5</v>
      </c>
      <c r="V176" s="31"/>
    </row>
    <row r="177" spans="1:22" s="30" customFormat="1" ht="12.75">
      <c r="A177" s="24">
        <f t="shared" si="22"/>
      </c>
      <c r="B177" s="24" t="s">
        <v>52</v>
      </c>
      <c r="C177" s="29">
        <f t="shared" si="23"/>
        <v>1.5</v>
      </c>
      <c r="D177" s="29">
        <f t="shared" si="24"/>
        <v>58.5</v>
      </c>
      <c r="E177" s="29">
        <f t="shared" si="25"/>
        <v>59</v>
      </c>
      <c r="F177" s="28" t="s">
        <v>225</v>
      </c>
      <c r="G177" s="26" t="s">
        <v>32</v>
      </c>
      <c r="H177" s="26" t="s">
        <v>22</v>
      </c>
      <c r="I177" s="52" t="s">
        <v>33</v>
      </c>
      <c r="J177" s="52" t="s">
        <v>54</v>
      </c>
      <c r="K177" s="27">
        <f t="shared" si="28"/>
        <v>60</v>
      </c>
      <c r="L177" s="29">
        <f ca="1" t="shared" si="26"/>
        <v>1</v>
      </c>
      <c r="M177" s="29"/>
      <c r="N177" s="28" t="s">
        <v>59</v>
      </c>
      <c r="O177" s="28" t="s">
        <v>101</v>
      </c>
      <c r="P177" s="28" t="s">
        <v>85</v>
      </c>
      <c r="Q177" s="34" t="s">
        <v>62</v>
      </c>
      <c r="R177" s="28">
        <v>4</v>
      </c>
      <c r="S177" s="29">
        <v>5</v>
      </c>
      <c r="T177" s="29">
        <v>0</v>
      </c>
      <c r="U177" s="29">
        <f t="shared" si="27"/>
        <v>12</v>
      </c>
      <c r="V177" s="31"/>
    </row>
    <row r="178" spans="1:22" s="30" customFormat="1" ht="12.75">
      <c r="A178" s="24">
        <f t="shared" si="22"/>
      </c>
      <c r="B178" s="24" t="s">
        <v>52</v>
      </c>
      <c r="C178" s="29">
        <f t="shared" si="23"/>
        <v>1.5</v>
      </c>
      <c r="D178" s="29">
        <f t="shared" si="24"/>
        <v>3.5</v>
      </c>
      <c r="E178" s="29">
        <f t="shared" si="25"/>
        <v>4</v>
      </c>
      <c r="F178" s="28" t="s">
        <v>226</v>
      </c>
      <c r="G178" s="26" t="s">
        <v>33</v>
      </c>
      <c r="H178" s="26" t="s">
        <v>22</v>
      </c>
      <c r="I178" s="52" t="s">
        <v>54</v>
      </c>
      <c r="J178" s="52" t="s">
        <v>54</v>
      </c>
      <c r="K178" s="27">
        <f t="shared" si="28"/>
        <v>5</v>
      </c>
      <c r="L178" s="29">
        <f ca="1" t="shared" si="26"/>
        <v>1</v>
      </c>
      <c r="M178" s="29"/>
      <c r="N178" s="28" t="s">
        <v>59</v>
      </c>
      <c r="O178" s="28" t="s">
        <v>76</v>
      </c>
      <c r="P178" s="28" t="s">
        <v>55</v>
      </c>
      <c r="Q178" s="34"/>
      <c r="R178" s="28">
        <v>4</v>
      </c>
      <c r="S178" s="29">
        <v>0</v>
      </c>
      <c r="T178" s="29">
        <v>0</v>
      </c>
      <c r="U178" s="29">
        <f t="shared" si="27"/>
        <v>1</v>
      </c>
      <c r="V178" s="31"/>
    </row>
    <row r="179" spans="1:22" s="30" customFormat="1" ht="12.75">
      <c r="A179" s="24">
        <f t="shared" si="22"/>
      </c>
      <c r="B179" s="24" t="s">
        <v>52</v>
      </c>
      <c r="C179" s="29">
        <f t="shared" si="23"/>
        <v>1.5</v>
      </c>
      <c r="D179" s="29">
        <f t="shared" si="24"/>
        <v>13.5</v>
      </c>
      <c r="E179" s="29">
        <f t="shared" si="25"/>
        <v>14</v>
      </c>
      <c r="F179" s="28" t="s">
        <v>227</v>
      </c>
      <c r="G179" s="26" t="s">
        <v>33</v>
      </c>
      <c r="H179" s="26" t="s">
        <v>22</v>
      </c>
      <c r="I179" s="52" t="s">
        <v>54</v>
      </c>
      <c r="J179" s="52" t="s">
        <v>54</v>
      </c>
      <c r="K179" s="27">
        <f t="shared" si="28"/>
        <v>15</v>
      </c>
      <c r="L179" s="29">
        <f ca="1" t="shared" si="26"/>
        <v>1</v>
      </c>
      <c r="M179" s="29"/>
      <c r="N179" s="28" t="s">
        <v>59</v>
      </c>
      <c r="O179" s="28" t="s">
        <v>76</v>
      </c>
      <c r="P179" s="28" t="s">
        <v>85</v>
      </c>
      <c r="Q179" s="34"/>
      <c r="R179" s="28">
        <v>2</v>
      </c>
      <c r="S179" s="29">
        <v>2</v>
      </c>
      <c r="T179" s="29">
        <v>0</v>
      </c>
      <c r="U179" s="29">
        <f t="shared" si="27"/>
        <v>5</v>
      </c>
      <c r="V179" s="31"/>
    </row>
    <row r="180" spans="1:22" s="30" customFormat="1" ht="12.75">
      <c r="A180" s="24">
        <f t="shared" si="22"/>
      </c>
      <c r="B180" s="24" t="s">
        <v>52</v>
      </c>
      <c r="C180" s="29">
        <f t="shared" si="23"/>
        <v>1.5</v>
      </c>
      <c r="D180" s="29">
        <f t="shared" si="24"/>
        <v>18.5</v>
      </c>
      <c r="E180" s="29">
        <f t="shared" si="25"/>
        <v>19</v>
      </c>
      <c r="F180" s="28" t="s">
        <v>228</v>
      </c>
      <c r="G180" s="26" t="s">
        <v>33</v>
      </c>
      <c r="H180" s="26" t="s">
        <v>22</v>
      </c>
      <c r="I180" s="52" t="s">
        <v>54</v>
      </c>
      <c r="J180" s="52" t="s">
        <v>54</v>
      </c>
      <c r="K180" s="27">
        <f t="shared" si="28"/>
        <v>20</v>
      </c>
      <c r="L180" s="29">
        <f ca="1" t="shared" si="26"/>
        <v>1</v>
      </c>
      <c r="M180" s="29"/>
      <c r="N180" s="28" t="s">
        <v>426</v>
      </c>
      <c r="O180" s="28" t="s">
        <v>76</v>
      </c>
      <c r="P180" s="28" t="s">
        <v>55</v>
      </c>
      <c r="Q180" s="34"/>
      <c r="R180" s="28">
        <v>5</v>
      </c>
      <c r="S180" s="29">
        <v>1</v>
      </c>
      <c r="T180" s="29">
        <v>0</v>
      </c>
      <c r="U180" s="29">
        <f t="shared" si="27"/>
        <v>3</v>
      </c>
      <c r="V180" s="31"/>
    </row>
    <row r="181" spans="1:22" s="30" customFormat="1" ht="12.75">
      <c r="A181" s="24">
        <f t="shared" si="22"/>
      </c>
      <c r="B181" s="24" t="s">
        <v>52</v>
      </c>
      <c r="C181" s="29">
        <f t="shared" si="23"/>
        <v>1.5</v>
      </c>
      <c r="D181" s="29">
        <f t="shared" si="24"/>
        <v>23.5</v>
      </c>
      <c r="E181" s="29">
        <f t="shared" si="25"/>
        <v>24</v>
      </c>
      <c r="F181" s="28" t="s">
        <v>229</v>
      </c>
      <c r="G181" s="26" t="s">
        <v>33</v>
      </c>
      <c r="H181" s="26" t="s">
        <v>22</v>
      </c>
      <c r="I181" s="52" t="s">
        <v>54</v>
      </c>
      <c r="J181" s="52" t="s">
        <v>54</v>
      </c>
      <c r="K181" s="27">
        <f t="shared" si="28"/>
        <v>25</v>
      </c>
      <c r="L181" s="29">
        <f ca="1" t="shared" si="26"/>
        <v>1</v>
      </c>
      <c r="M181" s="29"/>
      <c r="N181" s="28" t="s">
        <v>426</v>
      </c>
      <c r="O181" s="28" t="s">
        <v>76</v>
      </c>
      <c r="P181" s="28" t="s">
        <v>85</v>
      </c>
      <c r="Q181" s="34"/>
      <c r="R181" s="28">
        <v>4</v>
      </c>
      <c r="S181" s="29">
        <v>1</v>
      </c>
      <c r="T181" s="29">
        <v>0</v>
      </c>
      <c r="U181" s="29">
        <f t="shared" si="27"/>
        <v>5</v>
      </c>
      <c r="V181" s="31"/>
    </row>
    <row r="182" spans="1:22" s="30" customFormat="1" ht="12.75">
      <c r="A182" s="24">
        <f t="shared" si="22"/>
      </c>
      <c r="B182" s="24" t="s">
        <v>52</v>
      </c>
      <c r="C182" s="29">
        <f t="shared" si="23"/>
        <v>1.5</v>
      </c>
      <c r="D182" s="29">
        <f t="shared" si="24"/>
        <v>28.5</v>
      </c>
      <c r="E182" s="29">
        <f t="shared" si="25"/>
        <v>29</v>
      </c>
      <c r="F182" s="28" t="s">
        <v>230</v>
      </c>
      <c r="G182" s="26" t="s">
        <v>33</v>
      </c>
      <c r="H182" s="26" t="s">
        <v>22</v>
      </c>
      <c r="I182" s="52" t="s">
        <v>54</v>
      </c>
      <c r="J182" s="52" t="s">
        <v>54</v>
      </c>
      <c r="K182" s="27">
        <f t="shared" si="28"/>
        <v>30</v>
      </c>
      <c r="L182" s="29">
        <f ca="1" t="shared" si="26"/>
        <v>1</v>
      </c>
      <c r="M182" s="29"/>
      <c r="N182" s="28" t="s">
        <v>59</v>
      </c>
      <c r="O182" s="28" t="s">
        <v>76</v>
      </c>
      <c r="P182" s="28" t="s">
        <v>85</v>
      </c>
      <c r="Q182" s="34"/>
      <c r="R182" s="28">
        <v>3</v>
      </c>
      <c r="S182" s="29">
        <v>3</v>
      </c>
      <c r="T182" s="29">
        <v>1</v>
      </c>
      <c r="U182" s="29">
        <f t="shared" si="27"/>
        <v>7</v>
      </c>
      <c r="V182" s="31" t="s">
        <v>542</v>
      </c>
    </row>
    <row r="183" spans="1:22" s="30" customFormat="1" ht="12.75">
      <c r="A183" s="24">
        <f>IF(OR(B183="Y",B183="M"),K183,"")</f>
      </c>
      <c r="B183" s="24" t="s">
        <v>52</v>
      </c>
      <c r="C183" s="29">
        <f>IF(G183="","--",(L183-Sta+Int)/2)</f>
        <v>1.5</v>
      </c>
      <c r="D183" s="29" t="str">
        <f>IF(AND(K183&lt;&gt;"",K183&lt;&gt;"G"),K183-C183,"--")</f>
        <v>--</v>
      </c>
      <c r="E183" s="29" t="str">
        <f>IF(AND(K183&lt;&gt;"",K183&lt;&gt;"G"),K183-L183,"--")</f>
        <v>--</v>
      </c>
      <c r="F183" s="50" t="s">
        <v>238</v>
      </c>
      <c r="G183" s="26" t="s">
        <v>35</v>
      </c>
      <c r="H183" s="26" t="s">
        <v>22</v>
      </c>
      <c r="I183" s="52" t="s">
        <v>54</v>
      </c>
      <c r="J183" s="52" t="s">
        <v>54</v>
      </c>
      <c r="K183" s="34" t="str">
        <f>IF(R183="G","G",IF(R183&gt;=5,R183+U183*5,IF((R183+U183)&lt;=5,(R183+U183),(5+5*(R183+U183-5)))))</f>
        <v>G</v>
      </c>
      <c r="L183" s="29">
        <f ca="1">IF(G183="","--",IF(I183="",INDIRECT(G183),MIN(INDIRECT(G183),INDIRECT(LEFT(I183,2)),INDIRECT(RIGHT(I183,2))))+IF(J183="",INDIRECT(H183),MIN(INDIRECT(H183),INDIRECT(LEFT(J183,2)),INDIRECT(RIGHT(J183,2))))+Sta+IF(M183="",0,$G$2))</f>
        <v>1</v>
      </c>
      <c r="M183" s="29"/>
      <c r="N183" s="28" t="s">
        <v>59</v>
      </c>
      <c r="O183" s="28" t="s">
        <v>89</v>
      </c>
      <c r="P183" s="28" t="s">
        <v>160</v>
      </c>
      <c r="Q183" s="34"/>
      <c r="R183" s="28" t="s">
        <v>63</v>
      </c>
      <c r="S183" s="29">
        <v>0</v>
      </c>
      <c r="T183" s="29">
        <v>0</v>
      </c>
      <c r="U183" s="29">
        <f>S183+T183+VLOOKUP(N183,Ranges,2,FALSE)+VLOOKUP(O183,Durations,2,FALSE)+VLOOKUP(P183,Targets,2,FALSE)</f>
        <v>3</v>
      </c>
      <c r="V183" s="31" t="s">
        <v>439</v>
      </c>
    </row>
    <row r="184" spans="1:22" s="30" customFormat="1" ht="12.75">
      <c r="A184" s="24">
        <f>IF(OR(B184="Y",B184="M"),K184,"")</f>
      </c>
      <c r="B184" s="24" t="s">
        <v>52</v>
      </c>
      <c r="C184" s="29">
        <f>IF(G184="","--",(L184-Sta+Int)/2)</f>
        <v>1.5</v>
      </c>
      <c r="D184" s="29">
        <f>IF(AND(K184&lt;&gt;"",K184&lt;&gt;"G"),K184-C184,"--")</f>
        <v>3.5</v>
      </c>
      <c r="E184" s="29">
        <f>IF(AND(K184&lt;&gt;"",K184&lt;&gt;"G"),K184-L184,"--")</f>
        <v>4</v>
      </c>
      <c r="F184" s="28" t="s">
        <v>219</v>
      </c>
      <c r="G184" s="26" t="s">
        <v>35</v>
      </c>
      <c r="H184" s="26" t="s">
        <v>22</v>
      </c>
      <c r="I184" s="52" t="s">
        <v>54</v>
      </c>
      <c r="J184" s="52" t="s">
        <v>54</v>
      </c>
      <c r="K184" s="27">
        <f>IF(R184="G","G",IF(R184&gt;=5,R184+U184*5,IF((R184+U184)&lt;=5,(R184+U184),(5+5*(R184+U184-5)))))</f>
        <v>5</v>
      </c>
      <c r="L184" s="29">
        <f ca="1">IF(G184="","--",IF(I184="",INDIRECT(G184),MIN(INDIRECT(G184),INDIRECT(LEFT(I184,2)),INDIRECT(RIGHT(I184,2))))+IF(J184="",INDIRECT(H184),MIN(INDIRECT(H184),INDIRECT(LEFT(J184,2)),INDIRECT(RIGHT(J184,2))))+Sta+IF(M184="",0,$G$2))</f>
        <v>1</v>
      </c>
      <c r="M184" s="29"/>
      <c r="N184" s="28" t="s">
        <v>426</v>
      </c>
      <c r="O184" s="28" t="s">
        <v>76</v>
      </c>
      <c r="P184" s="28" t="s">
        <v>55</v>
      </c>
      <c r="Q184" s="34"/>
      <c r="R184" s="28">
        <v>3</v>
      </c>
      <c r="S184" s="29">
        <v>0</v>
      </c>
      <c r="T184" s="29">
        <v>0</v>
      </c>
      <c r="U184" s="29">
        <f>S184+T184+VLOOKUP(N184,Ranges,2,FALSE)+VLOOKUP(O184,Durations,2,FALSE)+VLOOKUP(P184,Targets,2,FALSE)</f>
        <v>2</v>
      </c>
      <c r="V184" s="94" t="s">
        <v>543</v>
      </c>
    </row>
    <row r="185" spans="1:22" s="30" customFormat="1" ht="12.75">
      <c r="A185" s="24">
        <f t="shared" si="22"/>
      </c>
      <c r="B185" s="24" t="s">
        <v>52</v>
      </c>
      <c r="C185" s="29">
        <f t="shared" si="23"/>
        <v>1.5</v>
      </c>
      <c r="D185" s="29">
        <f t="shared" si="24"/>
        <v>8.5</v>
      </c>
      <c r="E185" s="29">
        <f t="shared" si="25"/>
        <v>9</v>
      </c>
      <c r="F185" s="28" t="s">
        <v>231</v>
      </c>
      <c r="G185" s="26" t="s">
        <v>35</v>
      </c>
      <c r="H185" s="26" t="s">
        <v>22</v>
      </c>
      <c r="I185" s="52" t="s">
        <v>54</v>
      </c>
      <c r="J185" s="52" t="s">
        <v>54</v>
      </c>
      <c r="K185" s="27">
        <f t="shared" si="28"/>
        <v>10</v>
      </c>
      <c r="L185" s="29">
        <f ca="1" t="shared" si="26"/>
        <v>1</v>
      </c>
      <c r="M185" s="29"/>
      <c r="N185" s="28" t="s">
        <v>426</v>
      </c>
      <c r="O185" s="28" t="s">
        <v>76</v>
      </c>
      <c r="P185" s="28" t="s">
        <v>55</v>
      </c>
      <c r="Q185" s="34"/>
      <c r="R185" s="28">
        <v>4</v>
      </c>
      <c r="S185" s="29">
        <v>0</v>
      </c>
      <c r="T185" s="29">
        <v>0</v>
      </c>
      <c r="U185" s="29">
        <f t="shared" si="27"/>
        <v>2</v>
      </c>
      <c r="V185" s="31"/>
    </row>
    <row r="186" spans="1:22" s="30" customFormat="1" ht="12.75">
      <c r="A186" s="24">
        <f t="shared" si="22"/>
      </c>
      <c r="B186" s="24" t="s">
        <v>52</v>
      </c>
      <c r="C186" s="29">
        <f t="shared" si="23"/>
        <v>1.5</v>
      </c>
      <c r="D186" s="29">
        <f t="shared" si="24"/>
        <v>13.5</v>
      </c>
      <c r="E186" s="29">
        <f t="shared" si="25"/>
        <v>14</v>
      </c>
      <c r="F186" s="28" t="s">
        <v>232</v>
      </c>
      <c r="G186" s="26" t="s">
        <v>35</v>
      </c>
      <c r="H186" s="26" t="s">
        <v>22</v>
      </c>
      <c r="I186" s="52" t="s">
        <v>54</v>
      </c>
      <c r="J186" s="52" t="s">
        <v>54</v>
      </c>
      <c r="K186" s="27">
        <f t="shared" si="28"/>
        <v>15</v>
      </c>
      <c r="L186" s="29">
        <f ca="1" t="shared" si="26"/>
        <v>1</v>
      </c>
      <c r="M186" s="29"/>
      <c r="N186" s="28" t="s">
        <v>426</v>
      </c>
      <c r="O186" s="28" t="s">
        <v>66</v>
      </c>
      <c r="P186" s="28" t="s">
        <v>422</v>
      </c>
      <c r="Q186" s="34"/>
      <c r="R186" s="28">
        <v>3</v>
      </c>
      <c r="S186" s="29">
        <v>0</v>
      </c>
      <c r="T186" s="29">
        <v>0</v>
      </c>
      <c r="U186" s="29">
        <f t="shared" si="27"/>
        <v>4</v>
      </c>
      <c r="V186" s="31" t="s">
        <v>544</v>
      </c>
    </row>
    <row r="187" spans="1:22" s="30" customFormat="1" ht="12.75">
      <c r="A187" s="24">
        <f t="shared" si="22"/>
      </c>
      <c r="B187" s="24" t="s">
        <v>52</v>
      </c>
      <c r="C187" s="29">
        <f t="shared" si="23"/>
        <v>1.5</v>
      </c>
      <c r="D187" s="29">
        <f t="shared" si="24"/>
        <v>13.5</v>
      </c>
      <c r="E187" s="29">
        <f t="shared" si="25"/>
        <v>14</v>
      </c>
      <c r="F187" s="28" t="s">
        <v>233</v>
      </c>
      <c r="G187" s="26" t="s">
        <v>35</v>
      </c>
      <c r="H187" s="26" t="s">
        <v>22</v>
      </c>
      <c r="I187" s="52" t="s">
        <v>32</v>
      </c>
      <c r="J187" s="52" t="s">
        <v>54</v>
      </c>
      <c r="K187" s="27">
        <f t="shared" si="28"/>
        <v>15</v>
      </c>
      <c r="L187" s="29">
        <f ca="1" t="shared" si="26"/>
        <v>1</v>
      </c>
      <c r="M187" s="29"/>
      <c r="N187" s="28" t="s">
        <v>426</v>
      </c>
      <c r="O187" s="28" t="s">
        <v>66</v>
      </c>
      <c r="P187" s="28" t="s">
        <v>55</v>
      </c>
      <c r="Q187" s="34"/>
      <c r="R187" s="28">
        <v>3</v>
      </c>
      <c r="S187" s="29">
        <v>0</v>
      </c>
      <c r="T187" s="29">
        <v>1</v>
      </c>
      <c r="U187" s="29">
        <f t="shared" si="27"/>
        <v>4</v>
      </c>
      <c r="V187" s="31" t="s">
        <v>545</v>
      </c>
    </row>
    <row r="188" spans="1:22" s="30" customFormat="1" ht="12.75">
      <c r="A188" s="24">
        <f t="shared" si="22"/>
      </c>
      <c r="B188" s="24" t="s">
        <v>52</v>
      </c>
      <c r="C188" s="29">
        <f t="shared" si="23"/>
        <v>1.5</v>
      </c>
      <c r="D188" s="29">
        <f t="shared" si="24"/>
        <v>18.5</v>
      </c>
      <c r="E188" s="29">
        <f t="shared" si="25"/>
        <v>19</v>
      </c>
      <c r="F188" s="28" t="s">
        <v>234</v>
      </c>
      <c r="G188" s="26" t="s">
        <v>35</v>
      </c>
      <c r="H188" s="26" t="s">
        <v>22</v>
      </c>
      <c r="I188" s="52" t="s">
        <v>54</v>
      </c>
      <c r="J188" s="52" t="s">
        <v>54</v>
      </c>
      <c r="K188" s="27">
        <f t="shared" si="28"/>
        <v>20</v>
      </c>
      <c r="L188" s="29">
        <f ca="1" t="shared" si="26"/>
        <v>1</v>
      </c>
      <c r="M188" s="29"/>
      <c r="N188" s="28" t="s">
        <v>426</v>
      </c>
      <c r="O188" s="28" t="s">
        <v>66</v>
      </c>
      <c r="P188" s="28" t="s">
        <v>85</v>
      </c>
      <c r="Q188" s="34"/>
      <c r="R188" s="28">
        <v>3</v>
      </c>
      <c r="S188" s="29">
        <v>0</v>
      </c>
      <c r="T188" s="29">
        <v>0</v>
      </c>
      <c r="U188" s="29">
        <f t="shared" si="27"/>
        <v>5</v>
      </c>
      <c r="V188" s="31" t="s">
        <v>546</v>
      </c>
    </row>
    <row r="189" spans="1:22" s="30" customFormat="1" ht="12.75">
      <c r="A189" s="24">
        <f t="shared" si="22"/>
      </c>
      <c r="B189" s="24" t="s">
        <v>52</v>
      </c>
      <c r="C189" s="29">
        <f t="shared" si="23"/>
        <v>1.5</v>
      </c>
      <c r="D189" s="29">
        <f t="shared" si="24"/>
        <v>23.5</v>
      </c>
      <c r="E189" s="29">
        <f t="shared" si="25"/>
        <v>24</v>
      </c>
      <c r="F189" s="28" t="s">
        <v>235</v>
      </c>
      <c r="G189" s="26" t="s">
        <v>35</v>
      </c>
      <c r="H189" s="26" t="s">
        <v>22</v>
      </c>
      <c r="I189" s="52" t="s">
        <v>54</v>
      </c>
      <c r="J189" s="52" t="s">
        <v>54</v>
      </c>
      <c r="K189" s="27">
        <f t="shared" si="28"/>
        <v>25</v>
      </c>
      <c r="L189" s="29">
        <f ca="1" t="shared" si="26"/>
        <v>1</v>
      </c>
      <c r="M189" s="29"/>
      <c r="N189" s="28" t="s">
        <v>426</v>
      </c>
      <c r="O189" s="28" t="s">
        <v>66</v>
      </c>
      <c r="P189" s="28" t="s">
        <v>55</v>
      </c>
      <c r="Q189" s="34"/>
      <c r="R189" s="28">
        <v>4</v>
      </c>
      <c r="S189" s="29">
        <v>2</v>
      </c>
      <c r="T189" s="29">
        <v>0</v>
      </c>
      <c r="U189" s="29">
        <f t="shared" si="27"/>
        <v>5</v>
      </c>
      <c r="V189" s="31" t="s">
        <v>547</v>
      </c>
    </row>
    <row r="190" spans="1:22" s="30" customFormat="1" ht="12.75">
      <c r="A190" s="24">
        <f t="shared" si="22"/>
      </c>
      <c r="B190" s="24" t="s">
        <v>52</v>
      </c>
      <c r="C190" s="29">
        <f t="shared" si="23"/>
        <v>1.5</v>
      </c>
      <c r="D190" s="29">
        <f t="shared" si="24"/>
        <v>23.5</v>
      </c>
      <c r="E190" s="29">
        <f t="shared" si="25"/>
        <v>24</v>
      </c>
      <c r="F190" s="28" t="s">
        <v>236</v>
      </c>
      <c r="G190" s="26" t="s">
        <v>35</v>
      </c>
      <c r="H190" s="26" t="s">
        <v>22</v>
      </c>
      <c r="I190" s="52" t="s">
        <v>54</v>
      </c>
      <c r="J190" s="52" t="s">
        <v>54</v>
      </c>
      <c r="K190" s="27">
        <f t="shared" si="28"/>
        <v>25</v>
      </c>
      <c r="L190" s="29">
        <f ca="1" t="shared" si="26"/>
        <v>1</v>
      </c>
      <c r="M190" s="29"/>
      <c r="N190" s="28" t="s">
        <v>426</v>
      </c>
      <c r="O190" s="28" t="s">
        <v>265</v>
      </c>
      <c r="P190" s="28" t="s">
        <v>55</v>
      </c>
      <c r="Q190" s="34"/>
      <c r="R190" s="28">
        <v>10</v>
      </c>
      <c r="S190" s="29">
        <v>0</v>
      </c>
      <c r="T190" s="29">
        <v>0</v>
      </c>
      <c r="U190" s="29">
        <f t="shared" si="27"/>
        <v>3</v>
      </c>
      <c r="V190" s="31" t="s">
        <v>512</v>
      </c>
    </row>
    <row r="191" spans="1:22" s="30" customFormat="1" ht="12.75">
      <c r="A191" s="24">
        <f>IF(OR(B191="Y",B191="M"),K191,"")</f>
      </c>
      <c r="B191" s="24" t="s">
        <v>52</v>
      </c>
      <c r="C191" s="29">
        <f>IF(G191="","--",(L191-Sta+Int)/2)</f>
        <v>1.5</v>
      </c>
      <c r="D191" s="29">
        <f>IF(AND(K191&lt;&gt;"",K191&lt;&gt;"G"),K191-C191,"--")</f>
        <v>23.5</v>
      </c>
      <c r="E191" s="29">
        <f>IF(AND(K191&lt;&gt;"",K191&lt;&gt;"G"),K191-L191,"--")</f>
        <v>24</v>
      </c>
      <c r="F191" s="28" t="s">
        <v>222</v>
      </c>
      <c r="G191" s="26" t="s">
        <v>35</v>
      </c>
      <c r="H191" s="26" t="s">
        <v>22</v>
      </c>
      <c r="I191" s="52" t="s">
        <v>54</v>
      </c>
      <c r="J191" s="52" t="s">
        <v>54</v>
      </c>
      <c r="K191" s="27">
        <f>IF(R191="G","G",IF(R191&gt;=5,R191+U191*5,IF((R191+U191)&lt;=5,(R191+U191),(5+5*(R191+U191-5)))))</f>
        <v>25</v>
      </c>
      <c r="L191" s="29">
        <f ca="1">IF(G191="","--",IF(I191="",INDIRECT(G191),MIN(INDIRECT(G191),INDIRECT(LEFT(I191,2)),INDIRECT(RIGHT(I191,2))))+IF(J191="",INDIRECT(H191),MIN(INDIRECT(H191),INDIRECT(LEFT(J191,2)),INDIRECT(RIGHT(J191,2))))+Sta+IF(M191="",0,$G$2))</f>
        <v>1</v>
      </c>
      <c r="M191" s="29"/>
      <c r="N191" s="28" t="s">
        <v>59</v>
      </c>
      <c r="O191" s="28" t="s">
        <v>94</v>
      </c>
      <c r="P191" s="28" t="s">
        <v>55</v>
      </c>
      <c r="Q191" s="34"/>
      <c r="R191" s="28">
        <v>4</v>
      </c>
      <c r="S191" s="29">
        <v>2</v>
      </c>
      <c r="T191" s="29">
        <v>0</v>
      </c>
      <c r="U191" s="29">
        <f>S191+T191+VLOOKUP(N191,Ranges,2,FALSE)+VLOOKUP(O191,Durations,2,FALSE)+VLOOKUP(P191,Targets,2,FALSE)</f>
        <v>5</v>
      </c>
      <c r="V191" s="31"/>
    </row>
    <row r="192" spans="1:22" s="30" customFormat="1" ht="12.75">
      <c r="A192" s="24">
        <f>IF(OR(B192="Y",B192="M"),K192,"")</f>
      </c>
      <c r="B192" s="24" t="s">
        <v>52</v>
      </c>
      <c r="C192" s="29">
        <f>IF(G192="","--",(L192-Sta+Int)/2)</f>
        <v>1.5</v>
      </c>
      <c r="D192" s="29">
        <f>IF(AND(K192&lt;&gt;"",K192&lt;&gt;"G"),K192-C192,"--")</f>
        <v>23.5</v>
      </c>
      <c r="E192" s="29">
        <f>IF(AND(K192&lt;&gt;"",K192&lt;&gt;"G"),K192-L192,"--")</f>
        <v>24</v>
      </c>
      <c r="F192" s="28" t="s">
        <v>447</v>
      </c>
      <c r="G192" s="26" t="s">
        <v>35</v>
      </c>
      <c r="H192" s="26" t="s">
        <v>22</v>
      </c>
      <c r="I192" s="52" t="s">
        <v>54</v>
      </c>
      <c r="J192" s="52" t="s">
        <v>54</v>
      </c>
      <c r="K192" s="27">
        <f>IF(R192="G","G",IF(R192&gt;=5,R192+U192*5,IF((R192+U192)&lt;=5,(R192+U192),(5+5*(R192+U192-5)))))</f>
        <v>25</v>
      </c>
      <c r="L192" s="29">
        <f ca="1">IF(G192="","--",IF(I192="",INDIRECT(G192),MIN(INDIRECT(G192),INDIRECT(LEFT(I192,2)),INDIRECT(RIGHT(I192,2))))+IF(J192="",INDIRECT(H192),MIN(INDIRECT(H192),INDIRECT(LEFT(J192,2)),INDIRECT(RIGHT(J192,2))))+Sta+IF(M192="",0,$G$2))</f>
        <v>1</v>
      </c>
      <c r="M192" s="29"/>
      <c r="N192" s="28" t="s">
        <v>93</v>
      </c>
      <c r="O192" s="28" t="s">
        <v>94</v>
      </c>
      <c r="P192" s="28" t="s">
        <v>55</v>
      </c>
      <c r="Q192" s="34"/>
      <c r="R192" s="28">
        <v>15</v>
      </c>
      <c r="S192" s="29">
        <v>0</v>
      </c>
      <c r="T192" s="29">
        <v>0</v>
      </c>
      <c r="U192" s="29">
        <f>S192+T192+VLOOKUP(N192,Ranges,2,FALSE)+VLOOKUP(O192,Durations,2,FALSE)+VLOOKUP(P192,Targets,2,FALSE)</f>
        <v>2</v>
      </c>
      <c r="V192" s="31"/>
    </row>
    <row r="193" spans="1:22" s="30" customFormat="1" ht="12.75">
      <c r="A193" s="24">
        <f t="shared" si="22"/>
      </c>
      <c r="B193" s="24" t="s">
        <v>52</v>
      </c>
      <c r="C193" s="29">
        <f t="shared" si="23"/>
        <v>1.5</v>
      </c>
      <c r="D193" s="29">
        <f t="shared" si="24"/>
        <v>28.5</v>
      </c>
      <c r="E193" s="29">
        <f t="shared" si="25"/>
        <v>29</v>
      </c>
      <c r="F193" s="28" t="s">
        <v>237</v>
      </c>
      <c r="G193" s="26" t="s">
        <v>35</v>
      </c>
      <c r="H193" s="26" t="s">
        <v>22</v>
      </c>
      <c r="I193" s="52" t="s">
        <v>54</v>
      </c>
      <c r="J193" s="52" t="s">
        <v>54</v>
      </c>
      <c r="K193" s="27">
        <f t="shared" si="28"/>
        <v>30</v>
      </c>
      <c r="L193" s="29">
        <f ca="1" t="shared" si="26"/>
        <v>1</v>
      </c>
      <c r="M193" s="29"/>
      <c r="N193" s="28" t="s">
        <v>426</v>
      </c>
      <c r="O193" s="28" t="s">
        <v>66</v>
      </c>
      <c r="P193" s="28" t="s">
        <v>55</v>
      </c>
      <c r="Q193" s="34"/>
      <c r="R193" s="28">
        <v>5</v>
      </c>
      <c r="S193" s="29">
        <v>2</v>
      </c>
      <c r="T193" s="29">
        <v>0</v>
      </c>
      <c r="U193" s="29">
        <f t="shared" si="27"/>
        <v>5</v>
      </c>
      <c r="V193" s="31"/>
    </row>
    <row r="194" spans="1:22" s="30" customFormat="1" ht="12.75">
      <c r="A194" s="24">
        <f>IF(OR(B194="Y",B194="M"),K194,"")</f>
      </c>
      <c r="B194" s="24" t="s">
        <v>52</v>
      </c>
      <c r="C194" s="29">
        <f>IF(G194="","--",(L194-Sta+Int)/2)</f>
        <v>1.5</v>
      </c>
      <c r="D194" s="29">
        <f>IF(AND(K194&lt;&gt;"",K194&lt;&gt;"G"),K194-C194,"--")</f>
        <v>43.5</v>
      </c>
      <c r="E194" s="29">
        <f>IF(AND(K194&lt;&gt;"",K194&lt;&gt;"G"),K194-L194,"--")</f>
        <v>44</v>
      </c>
      <c r="F194" s="28" t="s">
        <v>217</v>
      </c>
      <c r="G194" s="26" t="s">
        <v>35</v>
      </c>
      <c r="H194" s="26" t="s">
        <v>22</v>
      </c>
      <c r="I194" s="52" t="s">
        <v>30</v>
      </c>
      <c r="J194" s="52" t="s">
        <v>54</v>
      </c>
      <c r="K194" s="27">
        <f>IF(R194="G","G",IF(R194&gt;=5,R194+U194*5,IF((R194+U194)&lt;=5,(R194+U194),(5+5*(R194+U194-5)))))</f>
        <v>45</v>
      </c>
      <c r="L194" s="29">
        <f ca="1">IF(G194="","--",IF(I194="",INDIRECT(G194),MIN(INDIRECT(G194),INDIRECT(LEFT(I194,2)),INDIRECT(RIGHT(I194,2))))+IF(J194="",INDIRECT(H194),MIN(INDIRECT(H194),INDIRECT(LEFT(J194,2)),INDIRECT(RIGHT(J194,2))))+Sta+IF(M194="",0,$G$2))</f>
        <v>1</v>
      </c>
      <c r="M194" s="29"/>
      <c r="N194" s="28" t="s">
        <v>59</v>
      </c>
      <c r="O194" s="28" t="s">
        <v>60</v>
      </c>
      <c r="P194" s="28" t="s">
        <v>61</v>
      </c>
      <c r="Q194" s="34" t="s">
        <v>62</v>
      </c>
      <c r="R194" s="28">
        <v>5</v>
      </c>
      <c r="S194" s="29">
        <v>0</v>
      </c>
      <c r="T194" s="29">
        <v>0</v>
      </c>
      <c r="U194" s="29">
        <f>S194+T194+VLOOKUP(N194,Ranges,2,FALSE)+VLOOKUP(O194,Durations,2,FALSE)+VLOOKUP(P194,Targets,2,FALSE)</f>
        <v>8</v>
      </c>
      <c r="V194" s="31"/>
    </row>
    <row r="195" spans="1:22" s="30" customFormat="1" ht="12.75">
      <c r="A195" s="24">
        <f t="shared" si="22"/>
      </c>
      <c r="B195" s="24" t="s">
        <v>52</v>
      </c>
      <c r="C195" s="29">
        <f t="shared" si="23"/>
        <v>1.5</v>
      </c>
      <c r="D195" s="29">
        <f t="shared" si="24"/>
        <v>1.5</v>
      </c>
      <c r="E195" s="29">
        <f t="shared" si="25"/>
        <v>2</v>
      </c>
      <c r="F195" s="28" t="s">
        <v>239</v>
      </c>
      <c r="G195" s="26" t="s">
        <v>29</v>
      </c>
      <c r="H195" s="26" t="s">
        <v>23</v>
      </c>
      <c r="I195" s="52" t="s">
        <v>54</v>
      </c>
      <c r="J195" s="52" t="s">
        <v>54</v>
      </c>
      <c r="K195" s="27">
        <f t="shared" si="28"/>
        <v>3</v>
      </c>
      <c r="L195" s="29">
        <f ca="1" t="shared" si="26"/>
        <v>1</v>
      </c>
      <c r="M195" s="29"/>
      <c r="N195" s="28" t="s">
        <v>59</v>
      </c>
      <c r="O195" s="28" t="s">
        <v>66</v>
      </c>
      <c r="P195" s="28" t="s">
        <v>55</v>
      </c>
      <c r="Q195" s="34"/>
      <c r="R195" s="28">
        <v>1</v>
      </c>
      <c r="S195" s="29">
        <v>0</v>
      </c>
      <c r="T195" s="29">
        <v>0</v>
      </c>
      <c r="U195" s="29">
        <f t="shared" si="27"/>
        <v>2</v>
      </c>
      <c r="V195" s="31"/>
    </row>
    <row r="196" spans="1:22" s="30" customFormat="1" ht="12.75">
      <c r="A196" s="24">
        <f t="shared" si="22"/>
      </c>
      <c r="B196" s="24" t="s">
        <v>52</v>
      </c>
      <c r="C196" s="29">
        <f t="shared" si="23"/>
        <v>1.5</v>
      </c>
      <c r="D196" s="29">
        <f t="shared" si="24"/>
        <v>3.5</v>
      </c>
      <c r="E196" s="29">
        <f t="shared" si="25"/>
        <v>4</v>
      </c>
      <c r="F196" s="28" t="s">
        <v>240</v>
      </c>
      <c r="G196" s="26" t="s">
        <v>29</v>
      </c>
      <c r="H196" s="26" t="s">
        <v>23</v>
      </c>
      <c r="I196" s="52" t="s">
        <v>54</v>
      </c>
      <c r="J196" s="52" t="s">
        <v>54</v>
      </c>
      <c r="K196" s="27">
        <f t="shared" si="28"/>
        <v>5</v>
      </c>
      <c r="L196" s="29">
        <f ca="1" t="shared" si="26"/>
        <v>1</v>
      </c>
      <c r="M196" s="29"/>
      <c r="N196" s="28" t="s">
        <v>59</v>
      </c>
      <c r="O196" s="28" t="s">
        <v>66</v>
      </c>
      <c r="P196" s="28" t="s">
        <v>55</v>
      </c>
      <c r="Q196" s="34"/>
      <c r="R196" s="28">
        <v>3</v>
      </c>
      <c r="S196" s="29">
        <v>0</v>
      </c>
      <c r="T196" s="29">
        <v>0</v>
      </c>
      <c r="U196" s="29">
        <f t="shared" si="27"/>
        <v>2</v>
      </c>
      <c r="V196" s="31"/>
    </row>
    <row r="197" spans="1:22" s="30" customFormat="1" ht="12.75">
      <c r="A197" s="24">
        <f t="shared" si="22"/>
      </c>
      <c r="B197" s="24" t="s">
        <v>52</v>
      </c>
      <c r="C197" s="29">
        <f t="shared" si="23"/>
        <v>1.5</v>
      </c>
      <c r="D197" s="29">
        <f t="shared" si="24"/>
        <v>8.5</v>
      </c>
      <c r="E197" s="29">
        <f t="shared" si="25"/>
        <v>9</v>
      </c>
      <c r="F197" s="28" t="s">
        <v>241</v>
      </c>
      <c r="G197" s="26" t="s">
        <v>29</v>
      </c>
      <c r="H197" s="26" t="s">
        <v>23</v>
      </c>
      <c r="I197" s="52" t="s">
        <v>54</v>
      </c>
      <c r="J197" s="52" t="s">
        <v>54</v>
      </c>
      <c r="K197" s="27">
        <f t="shared" si="28"/>
        <v>10</v>
      </c>
      <c r="L197" s="29">
        <f ca="1" t="shared" si="26"/>
        <v>1</v>
      </c>
      <c r="M197" s="29"/>
      <c r="N197" s="28" t="s">
        <v>426</v>
      </c>
      <c r="O197" s="28" t="s">
        <v>76</v>
      </c>
      <c r="P197" s="28" t="s">
        <v>55</v>
      </c>
      <c r="Q197" s="34"/>
      <c r="R197" s="28">
        <v>4</v>
      </c>
      <c r="S197" s="29">
        <v>0</v>
      </c>
      <c r="T197" s="29">
        <v>0</v>
      </c>
      <c r="U197" s="29">
        <f t="shared" si="27"/>
        <v>2</v>
      </c>
      <c r="V197" s="31" t="s">
        <v>512</v>
      </c>
    </row>
    <row r="198" spans="1:22" s="30" customFormat="1" ht="12.75">
      <c r="A198" s="24">
        <f t="shared" si="22"/>
      </c>
      <c r="B198" s="24" t="s">
        <v>52</v>
      </c>
      <c r="C198" s="29">
        <f t="shared" si="23"/>
        <v>1.5</v>
      </c>
      <c r="D198" s="29">
        <f t="shared" si="24"/>
        <v>8.5</v>
      </c>
      <c r="E198" s="29">
        <f t="shared" si="25"/>
        <v>9</v>
      </c>
      <c r="F198" s="28" t="s">
        <v>242</v>
      </c>
      <c r="G198" s="26" t="s">
        <v>29</v>
      </c>
      <c r="H198" s="26" t="s">
        <v>23</v>
      </c>
      <c r="I198" s="52" t="s">
        <v>54</v>
      </c>
      <c r="J198" s="52" t="s">
        <v>54</v>
      </c>
      <c r="K198" s="27">
        <f t="shared" si="28"/>
        <v>10</v>
      </c>
      <c r="L198" s="29">
        <f ca="1" t="shared" si="26"/>
        <v>1</v>
      </c>
      <c r="M198" s="29"/>
      <c r="N198" s="28" t="s">
        <v>59</v>
      </c>
      <c r="O198" s="28" t="s">
        <v>66</v>
      </c>
      <c r="P198" s="28" t="s">
        <v>55</v>
      </c>
      <c r="Q198" s="34"/>
      <c r="R198" s="28">
        <v>4</v>
      </c>
      <c r="S198" s="29">
        <v>0</v>
      </c>
      <c r="T198" s="29">
        <v>0</v>
      </c>
      <c r="U198" s="29">
        <f t="shared" si="27"/>
        <v>2</v>
      </c>
      <c r="V198" s="31" t="s">
        <v>548</v>
      </c>
    </row>
    <row r="199" spans="1:22" s="30" customFormat="1" ht="12.75">
      <c r="A199" s="24">
        <f>IF(OR(B199="Y",B199="M"),K199,"")</f>
      </c>
      <c r="B199" s="24" t="s">
        <v>52</v>
      </c>
      <c r="C199" s="29">
        <f>IF(G199="","--",(L199-Sta+Int)/2)</f>
        <v>1.5</v>
      </c>
      <c r="D199" s="29">
        <f>IF(AND(K199&lt;&gt;"",K199&lt;&gt;"G"),K199-C199,"--")</f>
        <v>13.5</v>
      </c>
      <c r="E199" s="29">
        <f>IF(AND(K199&lt;&gt;"",K199&lt;&gt;"G"),K199-L199,"--")</f>
        <v>14</v>
      </c>
      <c r="F199" s="28" t="s">
        <v>244</v>
      </c>
      <c r="G199" s="26" t="s">
        <v>29</v>
      </c>
      <c r="H199" s="26" t="s">
        <v>23</v>
      </c>
      <c r="I199" s="52" t="s">
        <v>54</v>
      </c>
      <c r="J199" s="52" t="s">
        <v>54</v>
      </c>
      <c r="K199" s="27">
        <f>IF(R199="G","G",IF(R199&gt;=5,R199+U199*5,IF((R199+U199)&lt;=5,(R199+U199),(5+5*(R199+U199-5)))))</f>
        <v>15</v>
      </c>
      <c r="L199" s="29">
        <f ca="1">IF(G199="","--",IF(I199="",INDIRECT(G199),MIN(INDIRECT(G199),INDIRECT(LEFT(I199,2)),INDIRECT(RIGHT(I199,2))))+IF(J199="",INDIRECT(H199),MIN(INDIRECT(H199),INDIRECT(LEFT(J199,2)),INDIRECT(RIGHT(J199,2))))+Sta+IF(M199="",0,$G$2))</f>
        <v>1</v>
      </c>
      <c r="M199" s="29"/>
      <c r="N199" s="28" t="s">
        <v>59</v>
      </c>
      <c r="O199" s="28" t="s">
        <v>265</v>
      </c>
      <c r="P199" s="28" t="s">
        <v>55</v>
      </c>
      <c r="Q199" s="34"/>
      <c r="R199" s="28">
        <v>5</v>
      </c>
      <c r="S199" s="29">
        <v>0</v>
      </c>
      <c r="T199" s="29">
        <v>0</v>
      </c>
      <c r="U199" s="29">
        <f>S199+T199+VLOOKUP(N199,Ranges,2,FALSE)+VLOOKUP(O199,Durations,2,FALSE)+VLOOKUP(P199,Targets,2,FALSE)</f>
        <v>2</v>
      </c>
      <c r="V199" s="31" t="s">
        <v>549</v>
      </c>
    </row>
    <row r="200" spans="1:22" s="30" customFormat="1" ht="12.75">
      <c r="A200" s="24">
        <f t="shared" si="22"/>
      </c>
      <c r="B200" s="24" t="s">
        <v>52</v>
      </c>
      <c r="C200" s="29">
        <f t="shared" si="23"/>
        <v>1.5</v>
      </c>
      <c r="D200" s="29">
        <f t="shared" si="24"/>
        <v>13.5</v>
      </c>
      <c r="E200" s="29">
        <f t="shared" si="25"/>
        <v>14</v>
      </c>
      <c r="F200" s="28" t="s">
        <v>243</v>
      </c>
      <c r="G200" s="26" t="s">
        <v>29</v>
      </c>
      <c r="H200" s="26" t="s">
        <v>23</v>
      </c>
      <c r="I200" s="52" t="s">
        <v>54</v>
      </c>
      <c r="J200" s="52" t="s">
        <v>54</v>
      </c>
      <c r="K200" s="27">
        <f t="shared" si="28"/>
        <v>15</v>
      </c>
      <c r="L200" s="29">
        <f ca="1" t="shared" si="26"/>
        <v>1</v>
      </c>
      <c r="M200" s="29"/>
      <c r="N200" s="28" t="s">
        <v>426</v>
      </c>
      <c r="O200" s="28" t="s">
        <v>76</v>
      </c>
      <c r="P200" s="28" t="s">
        <v>55</v>
      </c>
      <c r="Q200" s="34"/>
      <c r="R200" s="28">
        <v>5</v>
      </c>
      <c r="S200" s="29">
        <v>0</v>
      </c>
      <c r="T200" s="29">
        <v>0</v>
      </c>
      <c r="U200" s="29">
        <f t="shared" si="27"/>
        <v>2</v>
      </c>
      <c r="V200" s="31" t="s">
        <v>550</v>
      </c>
    </row>
    <row r="201" spans="1:22" s="30" customFormat="1" ht="12.75">
      <c r="A201" s="24">
        <f t="shared" si="22"/>
      </c>
      <c r="B201" s="24" t="s">
        <v>52</v>
      </c>
      <c r="C201" s="29">
        <f t="shared" si="23"/>
        <v>1.5</v>
      </c>
      <c r="D201" s="29">
        <f t="shared" si="24"/>
        <v>18.5</v>
      </c>
      <c r="E201" s="29">
        <f t="shared" si="25"/>
        <v>19</v>
      </c>
      <c r="F201" s="28" t="s">
        <v>245</v>
      </c>
      <c r="G201" s="26" t="s">
        <v>29</v>
      </c>
      <c r="H201" s="26" t="s">
        <v>23</v>
      </c>
      <c r="I201" s="52" t="s">
        <v>54</v>
      </c>
      <c r="J201" s="52" t="s">
        <v>54</v>
      </c>
      <c r="K201" s="27">
        <f t="shared" si="28"/>
        <v>20</v>
      </c>
      <c r="L201" s="29">
        <f ca="1" t="shared" si="26"/>
        <v>1</v>
      </c>
      <c r="M201" s="29"/>
      <c r="N201" s="28" t="s">
        <v>426</v>
      </c>
      <c r="O201" s="28" t="s">
        <v>76</v>
      </c>
      <c r="P201" s="28" t="s">
        <v>55</v>
      </c>
      <c r="Q201" s="34"/>
      <c r="R201" s="28">
        <v>10</v>
      </c>
      <c r="S201" s="29">
        <v>0</v>
      </c>
      <c r="T201" s="29">
        <v>0</v>
      </c>
      <c r="U201" s="29">
        <f t="shared" si="27"/>
        <v>2</v>
      </c>
      <c r="V201" s="94" t="s">
        <v>551</v>
      </c>
    </row>
    <row r="202" spans="1:22" s="30" customFormat="1" ht="12.75">
      <c r="A202" s="24">
        <f aca="true" t="shared" si="29" ref="A202:A267">IF(OR(B202="Y",B202="M"),K202,"")</f>
      </c>
      <c r="B202" s="24" t="s">
        <v>52</v>
      </c>
      <c r="C202" s="29">
        <f t="shared" si="23"/>
        <v>1.5</v>
      </c>
      <c r="D202" s="29">
        <f aca="true" t="shared" si="30" ref="D202:D267">IF(AND(K202&lt;&gt;"",K202&lt;&gt;"G"),K202-C202,"--")</f>
        <v>23.5</v>
      </c>
      <c r="E202" s="29">
        <f t="shared" si="25"/>
        <v>24</v>
      </c>
      <c r="F202" s="28" t="s">
        <v>246</v>
      </c>
      <c r="G202" s="26" t="s">
        <v>29</v>
      </c>
      <c r="H202" s="26" t="s">
        <v>23</v>
      </c>
      <c r="I202" s="52" t="s">
        <v>54</v>
      </c>
      <c r="J202" s="52" t="s">
        <v>54</v>
      </c>
      <c r="K202" s="27">
        <f t="shared" si="28"/>
        <v>25</v>
      </c>
      <c r="L202" s="29">
        <f aca="true" ca="1" t="shared" si="31" ref="L202:L267">IF(G202="","--",IF(I202="",INDIRECT(G202),MIN(INDIRECT(G202),INDIRECT(LEFT(I202,2)),INDIRECT(RIGHT(I202,2))))+IF(J202="",INDIRECT(H202),MIN(INDIRECT(H202),INDIRECT(LEFT(J202,2)),INDIRECT(RIGHT(J202,2))))+Sta+IF(M202="",0,$G$2))</f>
        <v>1</v>
      </c>
      <c r="M202" s="29"/>
      <c r="N202" s="28" t="s">
        <v>426</v>
      </c>
      <c r="O202" s="28" t="s">
        <v>76</v>
      </c>
      <c r="P202" s="28" t="s">
        <v>85</v>
      </c>
      <c r="Q202" s="34"/>
      <c r="R202" s="28">
        <v>5</v>
      </c>
      <c r="S202" s="29">
        <v>0</v>
      </c>
      <c r="T202" s="29">
        <v>0</v>
      </c>
      <c r="U202" s="29">
        <f aca="true" t="shared" si="32" ref="U202:U267">S202+T202+VLOOKUP(N202,Ranges,2,FALSE)+VLOOKUP(O202,Durations,2,FALSE)+VLOOKUP(P202,Targets,2,FALSE)</f>
        <v>4</v>
      </c>
      <c r="V202" s="31" t="s">
        <v>552</v>
      </c>
    </row>
    <row r="203" spans="1:22" s="30" customFormat="1" ht="12.75">
      <c r="A203" s="24">
        <f>IF(OR(B203="Y",B203="M"),K203,"")</f>
      </c>
      <c r="B203" s="24" t="s">
        <v>52</v>
      </c>
      <c r="C203" s="29">
        <f t="shared" si="23"/>
        <v>1.5</v>
      </c>
      <c r="D203" s="29">
        <f>IF(AND(K203&lt;&gt;"",K203&lt;&gt;"G"),K203-C203,"--")</f>
        <v>23.5</v>
      </c>
      <c r="E203" s="29">
        <f>IF(AND(K203&lt;&gt;"",K203&lt;&gt;"G"),K203-L203,"--")</f>
        <v>24</v>
      </c>
      <c r="F203" s="28" t="s">
        <v>448</v>
      </c>
      <c r="G203" s="26" t="s">
        <v>29</v>
      </c>
      <c r="H203" s="26" t="s">
        <v>23</v>
      </c>
      <c r="I203" s="52" t="s">
        <v>35</v>
      </c>
      <c r="J203" s="52" t="s">
        <v>54</v>
      </c>
      <c r="K203" s="27">
        <f>IF(R203="G","G",IF(R203&gt;=5,R203+U203*5,IF((R203+U203)&lt;=5,(R203+U203),(5+5*(R203+U203-5)))))</f>
        <v>25</v>
      </c>
      <c r="L203" s="29">
        <f ca="1">IF(G203="","--",IF(I203="",INDIRECT(G203),MIN(INDIRECT(G203),INDIRECT(LEFT(I203,2)),INDIRECT(RIGHT(I203,2))))+IF(J203="",INDIRECT(H203),MIN(INDIRECT(H203),INDIRECT(LEFT(J203,2)),INDIRECT(RIGHT(J203,2))))+Sta+IF(M203="",0,$G$2))</f>
        <v>1</v>
      </c>
      <c r="M203" s="29"/>
      <c r="N203" s="28" t="s">
        <v>426</v>
      </c>
      <c r="O203" s="28" t="s">
        <v>265</v>
      </c>
      <c r="P203" s="28" t="s">
        <v>55</v>
      </c>
      <c r="Q203" s="34"/>
      <c r="R203" s="28">
        <v>5</v>
      </c>
      <c r="S203" s="29">
        <v>0</v>
      </c>
      <c r="T203" s="29">
        <v>1</v>
      </c>
      <c r="U203" s="29">
        <f>S203+T203+VLOOKUP(N203,Ranges,2,FALSE)+VLOOKUP(O203,Durations,2,FALSE)+VLOOKUP(P203,Targets,2,FALSE)</f>
        <v>4</v>
      </c>
      <c r="V203" s="94" t="s">
        <v>553</v>
      </c>
    </row>
    <row r="204" spans="1:22" s="30" customFormat="1" ht="12.75">
      <c r="A204" s="24">
        <f t="shared" si="29"/>
      </c>
      <c r="B204" s="24" t="s">
        <v>52</v>
      </c>
      <c r="C204" s="29">
        <f aca="true" t="shared" si="33" ref="C204:C267">IF(G204="","--",(L204-Sta+Int)/2)</f>
        <v>1.5</v>
      </c>
      <c r="D204" s="29">
        <f t="shared" si="30"/>
        <v>33.5</v>
      </c>
      <c r="E204" s="29">
        <f t="shared" si="25"/>
        <v>34</v>
      </c>
      <c r="F204" s="28" t="s">
        <v>247</v>
      </c>
      <c r="G204" s="26" t="s">
        <v>29</v>
      </c>
      <c r="H204" s="26" t="s">
        <v>23</v>
      </c>
      <c r="I204" s="52" t="s">
        <v>54</v>
      </c>
      <c r="J204" s="52" t="s">
        <v>54</v>
      </c>
      <c r="K204" s="27">
        <f t="shared" si="28"/>
        <v>35</v>
      </c>
      <c r="L204" s="29">
        <f ca="1" t="shared" si="31"/>
        <v>1</v>
      </c>
      <c r="M204" s="29"/>
      <c r="N204" s="28" t="s">
        <v>426</v>
      </c>
      <c r="O204" s="28" t="s">
        <v>76</v>
      </c>
      <c r="P204" s="28" t="s">
        <v>55</v>
      </c>
      <c r="Q204" s="34"/>
      <c r="R204" s="28">
        <v>25</v>
      </c>
      <c r="S204" s="29">
        <v>0</v>
      </c>
      <c r="T204" s="29">
        <v>0</v>
      </c>
      <c r="U204" s="29">
        <f t="shared" si="32"/>
        <v>2</v>
      </c>
      <c r="V204" s="94" t="s">
        <v>554</v>
      </c>
    </row>
    <row r="205" spans="1:22" s="30" customFormat="1" ht="12.75">
      <c r="A205" s="24">
        <f t="shared" si="29"/>
      </c>
      <c r="B205" s="24" t="s">
        <v>52</v>
      </c>
      <c r="C205" s="29">
        <f t="shared" si="33"/>
        <v>1.5</v>
      </c>
      <c r="D205" s="29">
        <f t="shared" si="30"/>
        <v>33.5</v>
      </c>
      <c r="E205" s="29">
        <f aca="true" t="shared" si="34" ref="E205:E267">IF(AND(K205&lt;&gt;"",K205&lt;&gt;"G"),K205-L205,"--")</f>
        <v>34</v>
      </c>
      <c r="F205" s="28" t="s">
        <v>248</v>
      </c>
      <c r="G205" s="26" t="s">
        <v>29</v>
      </c>
      <c r="H205" s="26" t="s">
        <v>23</v>
      </c>
      <c r="I205" s="52" t="s">
        <v>54</v>
      </c>
      <c r="J205" s="52" t="s">
        <v>54</v>
      </c>
      <c r="K205" s="27">
        <f t="shared" si="28"/>
        <v>35</v>
      </c>
      <c r="L205" s="29">
        <f ca="1" t="shared" si="31"/>
        <v>1</v>
      </c>
      <c r="M205" s="29"/>
      <c r="N205" s="28" t="s">
        <v>426</v>
      </c>
      <c r="O205" s="28" t="s">
        <v>66</v>
      </c>
      <c r="P205" s="28" t="s">
        <v>55</v>
      </c>
      <c r="Q205" s="34"/>
      <c r="R205" s="28">
        <v>20</v>
      </c>
      <c r="S205" s="29">
        <v>0</v>
      </c>
      <c r="T205" s="29">
        <v>0</v>
      </c>
      <c r="U205" s="29">
        <f t="shared" si="32"/>
        <v>3</v>
      </c>
      <c r="V205" s="94" t="s">
        <v>555</v>
      </c>
    </row>
    <row r="206" spans="1:22" s="30" customFormat="1" ht="12.75">
      <c r="A206" s="24">
        <f>IF(OR(B206="Y",B206="M"),K206,"")</f>
      </c>
      <c r="B206" s="24" t="s">
        <v>52</v>
      </c>
      <c r="C206" s="29">
        <f>IF(G206="","--",(L206-Sta+Int)/2)</f>
        <v>1.5</v>
      </c>
      <c r="D206" s="29">
        <f>IF(AND(K206&lt;&gt;"",K206&lt;&gt;"G"),K206-C206,"--")</f>
        <v>3.5</v>
      </c>
      <c r="E206" s="29">
        <f>IF(AND(K206&lt;&gt;"",K206&lt;&gt;"G"),K206-L206,"--")</f>
        <v>4</v>
      </c>
      <c r="F206" s="28" t="s">
        <v>250</v>
      </c>
      <c r="G206" s="26" t="s">
        <v>30</v>
      </c>
      <c r="H206" s="26" t="s">
        <v>23</v>
      </c>
      <c r="I206" s="52" t="s">
        <v>54</v>
      </c>
      <c r="J206" s="52" t="s">
        <v>54</v>
      </c>
      <c r="K206" s="27">
        <f>IF(R206="G","G",IF(R206&gt;=5,R206+U206*5,IF((R206+U206)&lt;=5,(R206+U206),(5+5*(R206+U206-5)))))</f>
        <v>5</v>
      </c>
      <c r="L206" s="29">
        <f ca="1">IF(G206="","--",IF(I206="",INDIRECT(G206),MIN(INDIRECT(G206),INDIRECT(LEFT(I206,2)),INDIRECT(RIGHT(I206,2))))+IF(J206="",INDIRECT(H206),MIN(INDIRECT(H206),INDIRECT(LEFT(J206,2)),INDIRECT(RIGHT(J206,2))))+Sta+IF(M206="",0,$G$2))</f>
        <v>1</v>
      </c>
      <c r="M206" s="29"/>
      <c r="N206" s="28" t="s">
        <v>59</v>
      </c>
      <c r="O206" s="28" t="s">
        <v>66</v>
      </c>
      <c r="P206" s="28" t="s">
        <v>55</v>
      </c>
      <c r="Q206" s="34"/>
      <c r="R206" s="28">
        <v>3</v>
      </c>
      <c r="S206" s="29">
        <v>0</v>
      </c>
      <c r="T206" s="29">
        <v>0</v>
      </c>
      <c r="U206" s="29">
        <f>S206+T206+VLOOKUP(N206,Ranges,2,FALSE)+VLOOKUP(O206,Durations,2,FALSE)+VLOOKUP(P206,Targets,2,FALSE)</f>
        <v>2</v>
      </c>
      <c r="V206" s="31"/>
    </row>
    <row r="207" spans="1:22" s="30" customFormat="1" ht="12.75">
      <c r="A207" s="24">
        <f t="shared" si="29"/>
      </c>
      <c r="B207" s="24" t="s">
        <v>52</v>
      </c>
      <c r="C207" s="29">
        <f t="shared" si="33"/>
        <v>1.5</v>
      </c>
      <c r="D207" s="29">
        <f t="shared" si="30"/>
        <v>13.5</v>
      </c>
      <c r="E207" s="29">
        <f t="shared" si="34"/>
        <v>14</v>
      </c>
      <c r="F207" s="28" t="s">
        <v>249</v>
      </c>
      <c r="G207" s="26" t="s">
        <v>30</v>
      </c>
      <c r="H207" s="26" t="s">
        <v>23</v>
      </c>
      <c r="I207" s="52" t="s">
        <v>54</v>
      </c>
      <c r="J207" s="52" t="s">
        <v>54</v>
      </c>
      <c r="K207" s="27">
        <f t="shared" si="28"/>
        <v>15</v>
      </c>
      <c r="L207" s="29">
        <f ca="1" t="shared" si="31"/>
        <v>1</v>
      </c>
      <c r="M207" s="29"/>
      <c r="N207" s="28" t="s">
        <v>93</v>
      </c>
      <c r="O207" s="28" t="s">
        <v>76</v>
      </c>
      <c r="P207" s="28" t="s">
        <v>431</v>
      </c>
      <c r="Q207" s="34"/>
      <c r="R207" s="28">
        <v>3</v>
      </c>
      <c r="S207" s="29">
        <v>0</v>
      </c>
      <c r="T207" s="29">
        <v>0</v>
      </c>
      <c r="U207" s="29">
        <f t="shared" si="32"/>
        <v>4</v>
      </c>
      <c r="V207" s="31"/>
    </row>
    <row r="208" spans="1:22" s="30" customFormat="1" ht="12.75">
      <c r="A208" s="24">
        <f t="shared" si="29"/>
      </c>
      <c r="B208" s="24" t="s">
        <v>52</v>
      </c>
      <c r="C208" s="29">
        <f t="shared" si="33"/>
        <v>1.5</v>
      </c>
      <c r="D208" s="29">
        <f t="shared" si="30"/>
        <v>18.5</v>
      </c>
      <c r="E208" s="29">
        <f t="shared" si="34"/>
        <v>19</v>
      </c>
      <c r="F208" s="28" t="s">
        <v>251</v>
      </c>
      <c r="G208" s="26" t="s">
        <v>30</v>
      </c>
      <c r="H208" s="26" t="s">
        <v>23</v>
      </c>
      <c r="I208" s="52" t="s">
        <v>54</v>
      </c>
      <c r="J208" s="52" t="s">
        <v>54</v>
      </c>
      <c r="K208" s="27">
        <f t="shared" si="28"/>
        <v>20</v>
      </c>
      <c r="L208" s="29">
        <f ca="1" t="shared" si="31"/>
        <v>1</v>
      </c>
      <c r="M208" s="29"/>
      <c r="N208" s="28" t="s">
        <v>93</v>
      </c>
      <c r="O208" s="28" t="s">
        <v>94</v>
      </c>
      <c r="P208" s="28" t="s">
        <v>431</v>
      </c>
      <c r="Q208" s="34"/>
      <c r="R208" s="28">
        <v>2</v>
      </c>
      <c r="S208" s="29">
        <v>0</v>
      </c>
      <c r="T208" s="29">
        <v>0</v>
      </c>
      <c r="U208" s="29">
        <f t="shared" si="32"/>
        <v>6</v>
      </c>
      <c r="V208" s="31"/>
    </row>
    <row r="209" spans="1:22" s="30" customFormat="1" ht="12.75">
      <c r="A209" s="24">
        <f>IF(OR(B209="Y",B209="M"),K209,"")</f>
      </c>
      <c r="B209" s="24" t="s">
        <v>52</v>
      </c>
      <c r="C209" s="29">
        <f>IF(G209="","--",(L209-Sta+Int)/2)</f>
        <v>1.5</v>
      </c>
      <c r="D209" s="29">
        <f>IF(AND(K209&lt;&gt;"",K209&lt;&gt;"G"),K209-C209,"--")</f>
        <v>33.5</v>
      </c>
      <c r="E209" s="29">
        <f>IF(AND(K209&lt;&gt;"",K209&lt;&gt;"G"),K209-L209,"--")</f>
        <v>34</v>
      </c>
      <c r="F209" s="28" t="s">
        <v>253</v>
      </c>
      <c r="G209" s="26" t="s">
        <v>30</v>
      </c>
      <c r="H209" s="26" t="s">
        <v>23</v>
      </c>
      <c r="I209" s="52" t="s">
        <v>54</v>
      </c>
      <c r="J209" s="52" t="s">
        <v>54</v>
      </c>
      <c r="K209" s="27">
        <f>IF(R209="G","G",IF(R209&gt;=5,R209+U209*5,IF((R209+U209)&lt;=5,(R209+U209),(5+5*(R209+U209-5)))))</f>
        <v>35</v>
      </c>
      <c r="L209" s="29">
        <f ca="1">IF(G209="","--",IF(I209="",INDIRECT(G209),MIN(INDIRECT(G209),INDIRECT(LEFT(I209,2)),INDIRECT(RIGHT(I209,2))))+IF(J209="",INDIRECT(H209),MIN(INDIRECT(H209),INDIRECT(LEFT(J209,2)),INDIRECT(RIGHT(J209,2))))+Sta+IF(M209="",0,$G$2))</f>
        <v>1</v>
      </c>
      <c r="M209" s="29"/>
      <c r="N209" s="28" t="s">
        <v>65</v>
      </c>
      <c r="O209" s="28" t="s">
        <v>66</v>
      </c>
      <c r="P209" s="28" t="s">
        <v>55</v>
      </c>
      <c r="Q209" s="34"/>
      <c r="R209" s="28">
        <v>10</v>
      </c>
      <c r="S209" s="29">
        <v>0</v>
      </c>
      <c r="T209" s="29">
        <v>0</v>
      </c>
      <c r="U209" s="29">
        <f>S209+T209+VLOOKUP(N209,Ranges,2,FALSE)+VLOOKUP(O209,Durations,2,FALSE)+VLOOKUP(P209,Targets,2,FALSE)</f>
        <v>5</v>
      </c>
      <c r="V209" s="31"/>
    </row>
    <row r="210" spans="1:22" s="30" customFormat="1" ht="12.75">
      <c r="A210" s="24">
        <f t="shared" si="29"/>
      </c>
      <c r="B210" s="24" t="s">
        <v>52</v>
      </c>
      <c r="C210" s="29">
        <f t="shared" si="33"/>
        <v>1.5</v>
      </c>
      <c r="D210" s="29">
        <f t="shared" si="30"/>
        <v>33.5</v>
      </c>
      <c r="E210" s="29">
        <f t="shared" si="34"/>
        <v>34</v>
      </c>
      <c r="F210" s="28" t="s">
        <v>252</v>
      </c>
      <c r="G210" s="26" t="s">
        <v>30</v>
      </c>
      <c r="H210" s="26" t="s">
        <v>23</v>
      </c>
      <c r="I210" s="52" t="s">
        <v>54</v>
      </c>
      <c r="J210" s="52" t="s">
        <v>54</v>
      </c>
      <c r="K210" s="27">
        <f t="shared" si="28"/>
        <v>35</v>
      </c>
      <c r="L210" s="29">
        <f ca="1" t="shared" si="31"/>
        <v>1</v>
      </c>
      <c r="M210" s="29"/>
      <c r="N210" s="28" t="s">
        <v>426</v>
      </c>
      <c r="O210" s="28" t="s">
        <v>66</v>
      </c>
      <c r="P210" s="28" t="s">
        <v>55</v>
      </c>
      <c r="Q210" s="34"/>
      <c r="R210" s="28">
        <v>20</v>
      </c>
      <c r="S210" s="29">
        <v>0</v>
      </c>
      <c r="T210" s="29">
        <v>0</v>
      </c>
      <c r="U210" s="29">
        <f t="shared" si="32"/>
        <v>3</v>
      </c>
      <c r="V210" s="31"/>
    </row>
    <row r="211" spans="1:22" s="30" customFormat="1" ht="12.75">
      <c r="A211" s="24">
        <f t="shared" si="29"/>
      </c>
      <c r="B211" s="24" t="s">
        <v>52</v>
      </c>
      <c r="C211" s="29">
        <f t="shared" si="33"/>
        <v>1.5</v>
      </c>
      <c r="D211" s="29">
        <f t="shared" si="30"/>
        <v>3.5</v>
      </c>
      <c r="E211" s="29">
        <f t="shared" si="34"/>
        <v>4</v>
      </c>
      <c r="F211" s="28" t="s">
        <v>254</v>
      </c>
      <c r="G211" s="26" t="s">
        <v>32</v>
      </c>
      <c r="H211" s="26" t="s">
        <v>23</v>
      </c>
      <c r="I211" s="52" t="s">
        <v>54</v>
      </c>
      <c r="J211" s="52" t="s">
        <v>54</v>
      </c>
      <c r="K211" s="27">
        <f t="shared" si="28"/>
        <v>5</v>
      </c>
      <c r="L211" s="29">
        <f ca="1" t="shared" si="31"/>
        <v>1</v>
      </c>
      <c r="M211" s="29"/>
      <c r="N211" s="28" t="s">
        <v>426</v>
      </c>
      <c r="O211" s="28" t="s">
        <v>76</v>
      </c>
      <c r="P211" s="28" t="s">
        <v>55</v>
      </c>
      <c r="Q211" s="34"/>
      <c r="R211" s="28">
        <v>3</v>
      </c>
      <c r="S211" s="29">
        <v>0</v>
      </c>
      <c r="T211" s="29">
        <v>0</v>
      </c>
      <c r="U211" s="29">
        <f t="shared" si="32"/>
        <v>2</v>
      </c>
      <c r="V211" s="31" t="s">
        <v>556</v>
      </c>
    </row>
    <row r="212" spans="1:22" s="30" customFormat="1" ht="12.75">
      <c r="A212" s="24">
        <f>IF(OR(B212="Y",B212="M"),K212,"")</f>
      </c>
      <c r="B212" s="24" t="s">
        <v>52</v>
      </c>
      <c r="C212" s="29">
        <f>IF(G212="","--",(L212-Sta+Int)/2)</f>
        <v>1.5</v>
      </c>
      <c r="D212" s="29">
        <f>IF(AND(K212&lt;&gt;"",K212&lt;&gt;"G"),K212-C212,"--")</f>
        <v>8.5</v>
      </c>
      <c r="E212" s="29">
        <f>IF(AND(K212&lt;&gt;"",K212&lt;&gt;"G"),K212-L212,"--")</f>
        <v>9</v>
      </c>
      <c r="F212" s="28" t="s">
        <v>256</v>
      </c>
      <c r="G212" s="26" t="s">
        <v>32</v>
      </c>
      <c r="H212" s="26" t="s">
        <v>23</v>
      </c>
      <c r="I212" s="52" t="s">
        <v>54</v>
      </c>
      <c r="J212" s="52" t="s">
        <v>54</v>
      </c>
      <c r="K212" s="27">
        <f>IF(R212="G","G",IF(R212&gt;=5,R212+U212*5,IF((R212+U212)&lt;=5,(R212+U212),(5+5*(R212+U212-5)))))</f>
        <v>10</v>
      </c>
      <c r="L212" s="29">
        <f ca="1">IF(G212="","--",IF(I212="",INDIRECT(G212),MIN(INDIRECT(G212),INDIRECT(LEFT(I212,2)),INDIRECT(RIGHT(I212,2))))+IF(J212="",INDIRECT(H212),MIN(INDIRECT(H212),INDIRECT(LEFT(J212,2)),INDIRECT(RIGHT(J212,2))))+Sta+IF(M212="",0,$G$2))</f>
        <v>1</v>
      </c>
      <c r="M212" s="29"/>
      <c r="N212" s="28" t="s">
        <v>426</v>
      </c>
      <c r="O212" s="28" t="s">
        <v>66</v>
      </c>
      <c r="P212" s="28" t="s">
        <v>55</v>
      </c>
      <c r="Q212" s="34"/>
      <c r="R212" s="28">
        <v>3</v>
      </c>
      <c r="S212" s="29">
        <v>0</v>
      </c>
      <c r="T212" s="29">
        <v>0</v>
      </c>
      <c r="U212" s="29">
        <f>S212+T212+VLOOKUP(N212,Ranges,2,FALSE)+VLOOKUP(O212,Durations,2,FALSE)+VLOOKUP(P212,Targets,2,FALSE)</f>
        <v>3</v>
      </c>
      <c r="V212" s="31"/>
    </row>
    <row r="213" spans="1:22" s="30" customFormat="1" ht="12.75">
      <c r="A213" s="24">
        <f t="shared" si="29"/>
      </c>
      <c r="B213" s="24" t="s">
        <v>52</v>
      </c>
      <c r="C213" s="29">
        <f t="shared" si="33"/>
        <v>1.5</v>
      </c>
      <c r="D213" s="29">
        <f t="shared" si="30"/>
        <v>8.5</v>
      </c>
      <c r="E213" s="29">
        <f t="shared" si="34"/>
        <v>9</v>
      </c>
      <c r="F213" s="28" t="s">
        <v>255</v>
      </c>
      <c r="G213" s="26" t="s">
        <v>32</v>
      </c>
      <c r="H213" s="26" t="s">
        <v>23</v>
      </c>
      <c r="I213" s="52" t="s">
        <v>35</v>
      </c>
      <c r="J213" s="52" t="s">
        <v>54</v>
      </c>
      <c r="K213" s="27">
        <f t="shared" si="28"/>
        <v>10</v>
      </c>
      <c r="L213" s="29">
        <f ca="1" t="shared" si="31"/>
        <v>1</v>
      </c>
      <c r="M213" s="29"/>
      <c r="N213" s="28" t="s">
        <v>426</v>
      </c>
      <c r="O213" s="28" t="s">
        <v>66</v>
      </c>
      <c r="P213" s="28" t="s">
        <v>55</v>
      </c>
      <c r="Q213" s="34"/>
      <c r="R213" s="28">
        <v>2</v>
      </c>
      <c r="S213" s="29">
        <v>0</v>
      </c>
      <c r="T213" s="29">
        <v>1</v>
      </c>
      <c r="U213" s="29">
        <f t="shared" si="32"/>
        <v>4</v>
      </c>
      <c r="V213" s="31" t="s">
        <v>557</v>
      </c>
    </row>
    <row r="214" spans="1:22" s="30" customFormat="1" ht="12.75">
      <c r="A214" s="24">
        <f t="shared" si="29"/>
      </c>
      <c r="B214" s="24" t="s">
        <v>52</v>
      </c>
      <c r="C214" s="29">
        <f t="shared" si="33"/>
        <v>1.5</v>
      </c>
      <c r="D214" s="29">
        <f t="shared" si="30"/>
        <v>18.5</v>
      </c>
      <c r="E214" s="29">
        <f t="shared" si="34"/>
        <v>19</v>
      </c>
      <c r="F214" s="28" t="s">
        <v>257</v>
      </c>
      <c r="G214" s="26" t="s">
        <v>32</v>
      </c>
      <c r="H214" s="26" t="s">
        <v>23</v>
      </c>
      <c r="I214" s="52" t="s">
        <v>54</v>
      </c>
      <c r="J214" s="52" t="s">
        <v>54</v>
      </c>
      <c r="K214" s="27">
        <f t="shared" si="28"/>
        <v>20</v>
      </c>
      <c r="L214" s="29">
        <f ca="1" t="shared" si="31"/>
        <v>1</v>
      </c>
      <c r="M214" s="29"/>
      <c r="N214" s="28" t="s">
        <v>426</v>
      </c>
      <c r="O214" s="28" t="s">
        <v>94</v>
      </c>
      <c r="P214" s="28" t="s">
        <v>55</v>
      </c>
      <c r="Q214" s="34"/>
      <c r="R214" s="28">
        <v>3</v>
      </c>
      <c r="S214" s="29">
        <v>1</v>
      </c>
      <c r="T214" s="29">
        <v>0</v>
      </c>
      <c r="U214" s="29">
        <f t="shared" si="32"/>
        <v>5</v>
      </c>
      <c r="V214" s="94" t="s">
        <v>558</v>
      </c>
    </row>
    <row r="215" spans="1:22" s="30" customFormat="1" ht="12.75">
      <c r="A215" s="24">
        <f t="shared" si="29"/>
      </c>
      <c r="B215" s="24" t="s">
        <v>52</v>
      </c>
      <c r="C215" s="29">
        <f t="shared" si="33"/>
        <v>1.5</v>
      </c>
      <c r="D215" s="29">
        <f t="shared" si="30"/>
        <v>23.5</v>
      </c>
      <c r="E215" s="29">
        <f t="shared" si="34"/>
        <v>24</v>
      </c>
      <c r="F215" s="28" t="s">
        <v>258</v>
      </c>
      <c r="G215" s="26" t="s">
        <v>32</v>
      </c>
      <c r="H215" s="26" t="s">
        <v>23</v>
      </c>
      <c r="I215" s="52" t="s">
        <v>54</v>
      </c>
      <c r="J215" s="52" t="s">
        <v>26</v>
      </c>
      <c r="K215" s="27">
        <f t="shared" si="28"/>
        <v>25</v>
      </c>
      <c r="L215" s="29">
        <f ca="1" t="shared" si="31"/>
        <v>1</v>
      </c>
      <c r="M215" s="29"/>
      <c r="N215" s="28" t="s">
        <v>426</v>
      </c>
      <c r="O215" s="28" t="s">
        <v>94</v>
      </c>
      <c r="P215" s="28" t="s">
        <v>55</v>
      </c>
      <c r="Q215" s="34"/>
      <c r="R215" s="28">
        <v>5</v>
      </c>
      <c r="S215" s="29">
        <v>0</v>
      </c>
      <c r="T215" s="29">
        <v>0</v>
      </c>
      <c r="U215" s="29">
        <f t="shared" si="32"/>
        <v>4</v>
      </c>
      <c r="V215" s="31"/>
    </row>
    <row r="216" spans="1:22" s="30" customFormat="1" ht="12.75">
      <c r="A216" s="24">
        <f t="shared" si="29"/>
      </c>
      <c r="B216" s="24" t="s">
        <v>52</v>
      </c>
      <c r="C216" s="29">
        <f t="shared" si="33"/>
        <v>1.5</v>
      </c>
      <c r="D216" s="29">
        <f t="shared" si="30"/>
        <v>33.5</v>
      </c>
      <c r="E216" s="29">
        <f t="shared" si="34"/>
        <v>34</v>
      </c>
      <c r="F216" s="28" t="s">
        <v>259</v>
      </c>
      <c r="G216" s="26" t="s">
        <v>32</v>
      </c>
      <c r="H216" s="26" t="s">
        <v>23</v>
      </c>
      <c r="I216" s="52" t="s">
        <v>54</v>
      </c>
      <c r="J216" s="52" t="s">
        <v>19</v>
      </c>
      <c r="K216" s="27">
        <f t="shared" si="28"/>
        <v>35</v>
      </c>
      <c r="L216" s="29">
        <f ca="1" t="shared" si="31"/>
        <v>1</v>
      </c>
      <c r="M216" s="29"/>
      <c r="N216" s="28" t="s">
        <v>426</v>
      </c>
      <c r="O216" s="28" t="s">
        <v>94</v>
      </c>
      <c r="P216" s="28" t="s">
        <v>55</v>
      </c>
      <c r="Q216" s="34"/>
      <c r="R216" s="28">
        <v>5</v>
      </c>
      <c r="S216" s="29">
        <v>2</v>
      </c>
      <c r="T216" s="29">
        <v>0</v>
      </c>
      <c r="U216" s="29">
        <f t="shared" si="32"/>
        <v>6</v>
      </c>
      <c r="V216" s="31"/>
    </row>
    <row r="217" spans="1:22" s="30" customFormat="1" ht="12.75">
      <c r="A217" s="24">
        <f>IF(OR(B217="Y",B217="M"),K217,"")</f>
      </c>
      <c r="B217" s="24" t="s">
        <v>52</v>
      </c>
      <c r="C217" s="29">
        <f>IF(G217="","--",(L217-Sta+Int)/2)</f>
        <v>1.5</v>
      </c>
      <c r="D217" s="29">
        <f>IF(AND(K217&lt;&gt;"",K217&lt;&gt;"G"),K217-C217,"--")</f>
        <v>8.5</v>
      </c>
      <c r="E217" s="29">
        <f>IF(AND(K217&lt;&gt;"",K217&lt;&gt;"G"),K217-L217,"--")</f>
        <v>9</v>
      </c>
      <c r="F217" s="28" t="s">
        <v>449</v>
      </c>
      <c r="G217" s="26" t="s">
        <v>33</v>
      </c>
      <c r="H217" s="26" t="s">
        <v>23</v>
      </c>
      <c r="I217" s="52" t="s">
        <v>54</v>
      </c>
      <c r="J217" s="52" t="s">
        <v>54</v>
      </c>
      <c r="K217" s="27">
        <f>IF(R217="G","G",IF(R217&gt;=5,R217+U217*5,IF((R217+U217)&lt;=5,(R217+U217),(5+5*(R217+U217-5)))))</f>
        <v>10</v>
      </c>
      <c r="L217" s="29">
        <f ca="1">IF(G217="","--",IF(I217="",INDIRECT(G217),MIN(INDIRECT(G217),INDIRECT(LEFT(I217,2)),INDIRECT(RIGHT(I217,2))))+IF(J217="",INDIRECT(H217),MIN(INDIRECT(H217),INDIRECT(LEFT(J217,2)),INDIRECT(RIGHT(J217,2))))+Sta+IF(M217="",0,$G$2))</f>
        <v>1</v>
      </c>
      <c r="M217" s="29"/>
      <c r="N217" s="28" t="s">
        <v>59</v>
      </c>
      <c r="O217" s="28" t="s">
        <v>265</v>
      </c>
      <c r="P217" s="28" t="s">
        <v>105</v>
      </c>
      <c r="Q217" s="34"/>
      <c r="R217" s="28">
        <v>2</v>
      </c>
      <c r="S217" s="29">
        <v>0</v>
      </c>
      <c r="T217" s="29">
        <v>0</v>
      </c>
      <c r="U217" s="29">
        <f>S217+T217+VLOOKUP(N217,Ranges,2,FALSE)+VLOOKUP(O217,Durations,2,FALSE)+VLOOKUP(P217,Targets,2,FALSE)</f>
        <v>4</v>
      </c>
      <c r="V217" s="31"/>
    </row>
    <row r="218" spans="1:22" s="30" customFormat="1" ht="12.75">
      <c r="A218" s="24">
        <f>IF(OR(B218="Y",B218="M"),K218,"")</f>
      </c>
      <c r="B218" s="24" t="s">
        <v>52</v>
      </c>
      <c r="C218" s="29">
        <f>IF(G218="","--",(L218-Sta+Int)/2)</f>
        <v>1.5</v>
      </c>
      <c r="D218" s="29">
        <f>IF(AND(K218&lt;&gt;"",K218&lt;&gt;"G"),K218-C218,"--")</f>
        <v>8.5</v>
      </c>
      <c r="E218" s="29">
        <f>IF(AND(K218&lt;&gt;"",K218&lt;&gt;"G"),K218-L218,"--")</f>
        <v>9</v>
      </c>
      <c r="F218" s="28" t="s">
        <v>261</v>
      </c>
      <c r="G218" s="26" t="s">
        <v>33</v>
      </c>
      <c r="H218" s="26" t="s">
        <v>23</v>
      </c>
      <c r="I218" s="52" t="s">
        <v>54</v>
      </c>
      <c r="J218" s="52" t="s">
        <v>54</v>
      </c>
      <c r="K218" s="27">
        <f>IF(R218="G","G",IF(R218&gt;=5,R218+U218*5,IF((R218+U218)&lt;=5,(R218+U218),(5+5*(R218+U218-5)))))</f>
        <v>10</v>
      </c>
      <c r="L218" s="29">
        <f ca="1">IF(G218="","--",IF(I218="",INDIRECT(G218),MIN(INDIRECT(G218),INDIRECT(LEFT(I218,2)),INDIRECT(RIGHT(I218,2))))+IF(J218="",INDIRECT(H218),MIN(INDIRECT(H218),INDIRECT(LEFT(J218,2)),INDIRECT(RIGHT(J218,2))))+Sta+IF(M218="",0,$G$2))</f>
        <v>1</v>
      </c>
      <c r="M218" s="29"/>
      <c r="N218" s="28" t="s">
        <v>426</v>
      </c>
      <c r="O218" s="28" t="s">
        <v>76</v>
      </c>
      <c r="P218" s="28" t="s">
        <v>55</v>
      </c>
      <c r="Q218" s="34"/>
      <c r="R218" s="28">
        <v>4</v>
      </c>
      <c r="S218" s="29">
        <v>0</v>
      </c>
      <c r="T218" s="29">
        <v>0</v>
      </c>
      <c r="U218" s="29">
        <f>S218+T218+VLOOKUP(N218,Ranges,2,FALSE)+VLOOKUP(O218,Durations,2,FALSE)+VLOOKUP(P218,Targets,2,FALSE)</f>
        <v>2</v>
      </c>
      <c r="V218" s="31" t="s">
        <v>559</v>
      </c>
    </row>
    <row r="219" spans="1:22" s="30" customFormat="1" ht="12.75">
      <c r="A219" s="24">
        <f t="shared" si="29"/>
      </c>
      <c r="B219" s="24" t="s">
        <v>52</v>
      </c>
      <c r="C219" s="29">
        <f t="shared" si="33"/>
        <v>1.5</v>
      </c>
      <c r="D219" s="29">
        <f t="shared" si="30"/>
        <v>18.5</v>
      </c>
      <c r="E219" s="29">
        <f t="shared" si="34"/>
        <v>19</v>
      </c>
      <c r="F219" s="28" t="s">
        <v>260</v>
      </c>
      <c r="G219" s="26" t="s">
        <v>33</v>
      </c>
      <c r="H219" s="26" t="s">
        <v>23</v>
      </c>
      <c r="I219" s="52" t="s">
        <v>54</v>
      </c>
      <c r="J219" s="52" t="s">
        <v>54</v>
      </c>
      <c r="K219" s="27">
        <f t="shared" si="28"/>
        <v>20</v>
      </c>
      <c r="L219" s="29">
        <f ca="1" t="shared" si="31"/>
        <v>1</v>
      </c>
      <c r="M219" s="29"/>
      <c r="N219" s="28" t="s">
        <v>426</v>
      </c>
      <c r="O219" s="28" t="s">
        <v>76</v>
      </c>
      <c r="P219" s="28" t="s">
        <v>55</v>
      </c>
      <c r="Q219" s="34"/>
      <c r="R219" s="28">
        <v>10</v>
      </c>
      <c r="S219" s="29">
        <v>0</v>
      </c>
      <c r="T219" s="29">
        <v>0</v>
      </c>
      <c r="U219" s="29">
        <f t="shared" si="32"/>
        <v>2</v>
      </c>
      <c r="V219" s="31"/>
    </row>
    <row r="220" spans="1:22" s="30" customFormat="1" ht="12.75">
      <c r="A220" s="24">
        <f>IF(OR(B220="Y",B220="M"),K220,"")</f>
      </c>
      <c r="B220" s="24" t="s">
        <v>52</v>
      </c>
      <c r="C220" s="29">
        <f>IF(G220="","--",(L220-Sta+Int)/2)</f>
        <v>1.5</v>
      </c>
      <c r="D220" s="29">
        <f>IF(AND(K220&lt;&gt;"",K220&lt;&gt;"G"),K220-C220,"--")</f>
        <v>23.5</v>
      </c>
      <c r="E220" s="29">
        <f>IF(AND(K220&lt;&gt;"",K220&lt;&gt;"G"),K220-L220,"--")</f>
        <v>24</v>
      </c>
      <c r="F220" s="28" t="s">
        <v>263</v>
      </c>
      <c r="G220" s="26" t="s">
        <v>33</v>
      </c>
      <c r="H220" s="26" t="s">
        <v>23</v>
      </c>
      <c r="I220" s="52" t="s">
        <v>54</v>
      </c>
      <c r="J220" s="52" t="s">
        <v>54</v>
      </c>
      <c r="K220" s="27">
        <f>IF(R220="G","G",IF(R220&gt;=5,R220+U220*5,IF((R220+U220)&lt;=5,(R220+U220),(5+5*(R220+U220-5)))))</f>
        <v>25</v>
      </c>
      <c r="L220" s="29">
        <f ca="1">IF(G220="","--",IF(I220="",INDIRECT(G220),MIN(INDIRECT(G220),INDIRECT(LEFT(I220,2)),INDIRECT(RIGHT(I220,2))))+IF(J220="",INDIRECT(H220),MIN(INDIRECT(H220),INDIRECT(LEFT(J220,2)),INDIRECT(RIGHT(J220,2))))+Sta+IF(M220="",0,$G$2))</f>
        <v>1</v>
      </c>
      <c r="M220" s="29"/>
      <c r="N220" s="28" t="s">
        <v>59</v>
      </c>
      <c r="O220" s="28" t="s">
        <v>94</v>
      </c>
      <c r="P220" s="28" t="s">
        <v>208</v>
      </c>
      <c r="Q220" s="34"/>
      <c r="R220" s="28">
        <v>3</v>
      </c>
      <c r="S220" s="29">
        <v>0</v>
      </c>
      <c r="T220" s="29">
        <v>0</v>
      </c>
      <c r="U220" s="29">
        <f>S220+T220+VLOOKUP(N220,Ranges,2,FALSE)+VLOOKUP(O220,Durations,2,FALSE)+VLOOKUP(P220,Targets,2,FALSE)</f>
        <v>6</v>
      </c>
      <c r="V220" s="31"/>
    </row>
    <row r="221" spans="1:22" s="30" customFormat="1" ht="12.75">
      <c r="A221" s="24">
        <f t="shared" si="29"/>
      </c>
      <c r="B221" s="24" t="s">
        <v>52</v>
      </c>
      <c r="C221" s="29">
        <f t="shared" si="33"/>
        <v>1.5</v>
      </c>
      <c r="D221" s="29">
        <f t="shared" si="30"/>
        <v>23.5</v>
      </c>
      <c r="E221" s="29">
        <f t="shared" si="34"/>
        <v>24</v>
      </c>
      <c r="F221" s="28" t="s">
        <v>262</v>
      </c>
      <c r="G221" s="26" t="s">
        <v>33</v>
      </c>
      <c r="H221" s="26" t="s">
        <v>23</v>
      </c>
      <c r="I221" s="52" t="s">
        <v>54</v>
      </c>
      <c r="J221" s="52" t="s">
        <v>54</v>
      </c>
      <c r="K221" s="27">
        <f t="shared" si="28"/>
        <v>25</v>
      </c>
      <c r="L221" s="29">
        <f ca="1" t="shared" si="31"/>
        <v>1</v>
      </c>
      <c r="M221" s="29"/>
      <c r="N221" s="28" t="s">
        <v>426</v>
      </c>
      <c r="O221" s="28" t="s">
        <v>76</v>
      </c>
      <c r="P221" s="28" t="s">
        <v>422</v>
      </c>
      <c r="Q221" s="34"/>
      <c r="R221" s="28">
        <v>4</v>
      </c>
      <c r="S221" s="29">
        <v>2</v>
      </c>
      <c r="T221" s="29">
        <v>0</v>
      </c>
      <c r="U221" s="29">
        <f t="shared" si="32"/>
        <v>5</v>
      </c>
      <c r="V221" s="31" t="s">
        <v>559</v>
      </c>
    </row>
    <row r="222" spans="1:22" s="30" customFormat="1" ht="12.75">
      <c r="A222" s="24">
        <f>IF(OR(B222="Y",B222="M"),K222,"")</f>
      </c>
      <c r="B222" s="24" t="s">
        <v>52</v>
      </c>
      <c r="C222" s="29">
        <f>IF(G222="","--",(L222-Sta+Int)/2)</f>
        <v>1.5</v>
      </c>
      <c r="D222" s="29">
        <f>IF(AND(K222&lt;&gt;"",K222&lt;&gt;"G"),K222-C222,"--")</f>
        <v>28.5</v>
      </c>
      <c r="E222" s="29">
        <f>IF(AND(K222&lt;&gt;"",K222&lt;&gt;"G"),K222-L222,"--")</f>
        <v>29</v>
      </c>
      <c r="F222" s="28" t="s">
        <v>450</v>
      </c>
      <c r="G222" s="26" t="s">
        <v>33</v>
      </c>
      <c r="H222" s="26" t="s">
        <v>23</v>
      </c>
      <c r="I222" s="52" t="s">
        <v>54</v>
      </c>
      <c r="J222" s="52" t="s">
        <v>54</v>
      </c>
      <c r="K222" s="27">
        <f>IF(R222="G","G",IF(R222&gt;=5,R222+U222*5,IF((R222+U222)&lt;=5,(R222+U222),(5+5*(R222+U222-5)))))</f>
        <v>30</v>
      </c>
      <c r="L222" s="29">
        <f ca="1">IF(G222="","--",IF(I222="",INDIRECT(G222),MIN(INDIRECT(G222),INDIRECT(LEFT(I222,2)),INDIRECT(RIGHT(I222,2))))+IF(J222="",INDIRECT(H222),MIN(INDIRECT(H222),INDIRECT(LEFT(J222,2)),INDIRECT(RIGHT(J222,2))))+Sta+IF(M222="",0,$G$2))</f>
        <v>1</v>
      </c>
      <c r="M222" s="29"/>
      <c r="N222" s="28" t="s">
        <v>426</v>
      </c>
      <c r="O222" s="28" t="s">
        <v>76</v>
      </c>
      <c r="P222" s="28" t="s">
        <v>55</v>
      </c>
      <c r="Q222" s="34"/>
      <c r="R222" s="28">
        <v>20</v>
      </c>
      <c r="S222" s="29">
        <v>0</v>
      </c>
      <c r="T222" s="29">
        <v>0</v>
      </c>
      <c r="U222" s="29">
        <f>S222+T222+VLOOKUP(N222,Ranges,2,FALSE)+VLOOKUP(O222,Durations,2,FALSE)+VLOOKUP(P222,Targets,2,FALSE)</f>
        <v>2</v>
      </c>
      <c r="V222" s="94" t="s">
        <v>560</v>
      </c>
    </row>
    <row r="223" spans="1:22" s="30" customFormat="1" ht="12.75">
      <c r="A223" s="24">
        <f t="shared" si="29"/>
      </c>
      <c r="B223" s="24" t="s">
        <v>52</v>
      </c>
      <c r="C223" s="29">
        <f t="shared" si="33"/>
        <v>1.5</v>
      </c>
      <c r="D223" s="29">
        <f t="shared" si="30"/>
        <v>33.5</v>
      </c>
      <c r="E223" s="29">
        <f t="shared" si="34"/>
        <v>34</v>
      </c>
      <c r="F223" s="28" t="s">
        <v>264</v>
      </c>
      <c r="G223" s="26" t="s">
        <v>33</v>
      </c>
      <c r="H223" s="26" t="s">
        <v>23</v>
      </c>
      <c r="I223" s="52" t="s">
        <v>54</v>
      </c>
      <c r="J223" s="52" t="s">
        <v>54</v>
      </c>
      <c r="K223" s="27">
        <f t="shared" si="28"/>
        <v>35</v>
      </c>
      <c r="L223" s="29">
        <f ca="1" t="shared" si="31"/>
        <v>1</v>
      </c>
      <c r="M223" s="29"/>
      <c r="N223" s="28" t="s">
        <v>59</v>
      </c>
      <c r="O223" s="28" t="s">
        <v>265</v>
      </c>
      <c r="P223" s="28" t="s">
        <v>61</v>
      </c>
      <c r="Q223" s="34" t="s">
        <v>62</v>
      </c>
      <c r="R223" s="28">
        <v>2</v>
      </c>
      <c r="S223" s="29">
        <v>3</v>
      </c>
      <c r="T223" s="29">
        <v>0</v>
      </c>
      <c r="U223" s="29">
        <f t="shared" si="32"/>
        <v>9</v>
      </c>
      <c r="V223" s="31"/>
    </row>
    <row r="224" spans="1:22" s="30" customFormat="1" ht="12.75">
      <c r="A224" s="24">
        <f t="shared" si="29"/>
      </c>
      <c r="B224" s="24" t="s">
        <v>52</v>
      </c>
      <c r="C224" s="29">
        <f t="shared" si="33"/>
        <v>1.5</v>
      </c>
      <c r="D224" s="29">
        <f t="shared" si="30"/>
        <v>3.5</v>
      </c>
      <c r="E224" s="29">
        <f t="shared" si="34"/>
        <v>4</v>
      </c>
      <c r="F224" s="28" t="s">
        <v>266</v>
      </c>
      <c r="G224" s="26" t="s">
        <v>35</v>
      </c>
      <c r="H224" s="26" t="s">
        <v>23</v>
      </c>
      <c r="I224" s="52" t="s">
        <v>54</v>
      </c>
      <c r="J224" s="52" t="s">
        <v>54</v>
      </c>
      <c r="K224" s="27">
        <f t="shared" si="28"/>
        <v>5</v>
      </c>
      <c r="L224" s="29">
        <f ca="1" t="shared" si="31"/>
        <v>1</v>
      </c>
      <c r="M224" s="29"/>
      <c r="N224" s="28" t="s">
        <v>426</v>
      </c>
      <c r="O224" s="28" t="s">
        <v>76</v>
      </c>
      <c r="P224" s="28" t="s">
        <v>55</v>
      </c>
      <c r="Q224" s="34"/>
      <c r="R224" s="28">
        <v>3</v>
      </c>
      <c r="S224" s="29">
        <v>0</v>
      </c>
      <c r="T224" s="29">
        <v>0</v>
      </c>
      <c r="U224" s="29">
        <f t="shared" si="32"/>
        <v>2</v>
      </c>
      <c r="V224" s="94" t="s">
        <v>503</v>
      </c>
    </row>
    <row r="225" spans="1:22" s="30" customFormat="1" ht="12.75">
      <c r="A225" s="24">
        <f>IF(OR(B225="Y",B225="M"),K225,"")</f>
      </c>
      <c r="B225" s="24" t="s">
        <v>52</v>
      </c>
      <c r="C225" s="29">
        <f>IF(G225="","--",(L225-Sta+Int)/2)</f>
        <v>1.5</v>
      </c>
      <c r="D225" s="29">
        <f>IF(AND(K225&lt;&gt;"",K225&lt;&gt;"G"),K225-C225,"--")</f>
        <v>8.5</v>
      </c>
      <c r="E225" s="29">
        <f>IF(AND(K225&lt;&gt;"",K225&lt;&gt;"G"),K225-L225,"--")</f>
        <v>9</v>
      </c>
      <c r="F225" s="28" t="s">
        <v>268</v>
      </c>
      <c r="G225" s="26" t="s">
        <v>35</v>
      </c>
      <c r="H225" s="26" t="s">
        <v>23</v>
      </c>
      <c r="I225" s="52" t="s">
        <v>54</v>
      </c>
      <c r="J225" s="52" t="s">
        <v>54</v>
      </c>
      <c r="K225" s="27">
        <f>IF(R225="G","G",IF(R225&gt;=5,R225+U225*5,IF((R225+U225)&lt;=5,(R225+U225),(5+5*(R225+U225-5)))))</f>
        <v>10</v>
      </c>
      <c r="L225" s="29">
        <f ca="1">IF(G225="","--",IF(I225="",INDIRECT(G225),MIN(INDIRECT(G225),INDIRECT(LEFT(I225,2)),INDIRECT(RIGHT(I225,2))))+IF(J225="",INDIRECT(H225),MIN(INDIRECT(H225),INDIRECT(LEFT(J225,2)),INDIRECT(RIGHT(J225,2))))+Sta+IF(M225="",0,$G$2))</f>
        <v>1</v>
      </c>
      <c r="M225" s="29"/>
      <c r="N225" s="28" t="s">
        <v>426</v>
      </c>
      <c r="O225" s="28" t="s">
        <v>76</v>
      </c>
      <c r="P225" s="28" t="s">
        <v>55</v>
      </c>
      <c r="Q225" s="34"/>
      <c r="R225" s="28">
        <v>3</v>
      </c>
      <c r="S225" s="29">
        <v>1</v>
      </c>
      <c r="T225" s="29">
        <v>0</v>
      </c>
      <c r="U225" s="29">
        <f>S225+T225+VLOOKUP(N225,Ranges,2,FALSE)+VLOOKUP(O225,Durations,2,FALSE)+VLOOKUP(P225,Targets,2,FALSE)</f>
        <v>3</v>
      </c>
      <c r="V225" s="94" t="s">
        <v>485</v>
      </c>
    </row>
    <row r="226" spans="1:21" s="30" customFormat="1" ht="12.75">
      <c r="A226" s="24">
        <f t="shared" si="29"/>
      </c>
      <c r="B226" s="24" t="s">
        <v>52</v>
      </c>
      <c r="C226" s="29">
        <f t="shared" si="33"/>
        <v>1.5</v>
      </c>
      <c r="D226" s="29">
        <f t="shared" si="30"/>
        <v>18.5</v>
      </c>
      <c r="E226" s="29">
        <f t="shared" si="34"/>
        <v>19</v>
      </c>
      <c r="F226" s="28" t="s">
        <v>267</v>
      </c>
      <c r="G226" s="26" t="s">
        <v>35</v>
      </c>
      <c r="H226" s="26" t="s">
        <v>23</v>
      </c>
      <c r="I226" s="52" t="s">
        <v>54</v>
      </c>
      <c r="J226" s="52" t="s">
        <v>54</v>
      </c>
      <c r="K226" s="27">
        <f t="shared" si="28"/>
        <v>20</v>
      </c>
      <c r="L226" s="29">
        <f ca="1" t="shared" si="31"/>
        <v>1</v>
      </c>
      <c r="M226" s="29"/>
      <c r="N226" s="28" t="s">
        <v>426</v>
      </c>
      <c r="O226" s="28" t="s">
        <v>66</v>
      </c>
      <c r="P226" s="28" t="s">
        <v>85</v>
      </c>
      <c r="Q226" s="34"/>
      <c r="R226" s="28">
        <v>3</v>
      </c>
      <c r="S226" s="29">
        <v>0</v>
      </c>
      <c r="T226" s="29">
        <v>0</v>
      </c>
      <c r="U226" s="29">
        <f t="shared" si="32"/>
        <v>5</v>
      </c>
    </row>
    <row r="227" spans="1:22" s="30" customFormat="1" ht="12.75">
      <c r="A227" s="24">
        <f t="shared" si="29"/>
      </c>
      <c r="B227" s="24" t="s">
        <v>52</v>
      </c>
      <c r="C227" s="29">
        <f t="shared" si="33"/>
        <v>1.5</v>
      </c>
      <c r="D227" s="29">
        <f t="shared" si="30"/>
        <v>23.5</v>
      </c>
      <c r="E227" s="29">
        <f t="shared" si="34"/>
        <v>24</v>
      </c>
      <c r="F227" s="28" t="s">
        <v>269</v>
      </c>
      <c r="G227" s="26" t="s">
        <v>35</v>
      </c>
      <c r="H227" s="26" t="s">
        <v>23</v>
      </c>
      <c r="I227" s="52" t="s">
        <v>54</v>
      </c>
      <c r="J227" s="52" t="s">
        <v>54</v>
      </c>
      <c r="K227" s="27">
        <f aca="true" t="shared" si="35" ref="K227:K287">IF(R227="G","G",IF(R227&gt;=5,R227+U227*5,IF((R227+U227)&lt;=5,(R227+U227),(5+5*(R227+U227-5)))))</f>
        <v>25</v>
      </c>
      <c r="L227" s="29">
        <f ca="1" t="shared" si="31"/>
        <v>1</v>
      </c>
      <c r="M227" s="29"/>
      <c r="N227" s="28" t="s">
        <v>118</v>
      </c>
      <c r="O227" s="28" t="s">
        <v>76</v>
      </c>
      <c r="P227" s="28" t="s">
        <v>55</v>
      </c>
      <c r="Q227" s="34"/>
      <c r="R227" s="28">
        <v>10</v>
      </c>
      <c r="S227" s="29">
        <v>0</v>
      </c>
      <c r="T227" s="29">
        <v>0</v>
      </c>
      <c r="U227" s="29">
        <f t="shared" si="32"/>
        <v>3</v>
      </c>
      <c r="V227" s="94" t="s">
        <v>561</v>
      </c>
    </row>
    <row r="228" spans="1:22" s="30" customFormat="1" ht="12.75">
      <c r="A228" s="24">
        <f t="shared" si="29"/>
      </c>
      <c r="B228" s="24" t="s">
        <v>52</v>
      </c>
      <c r="C228" s="29">
        <f t="shared" si="33"/>
        <v>1.5</v>
      </c>
      <c r="D228" s="29">
        <f t="shared" si="30"/>
        <v>23.5</v>
      </c>
      <c r="E228" s="29">
        <f t="shared" si="34"/>
        <v>24</v>
      </c>
      <c r="F228" s="28" t="s">
        <v>270</v>
      </c>
      <c r="G228" s="26" t="s">
        <v>35</v>
      </c>
      <c r="H228" s="26" t="s">
        <v>23</v>
      </c>
      <c r="I228" s="52" t="s">
        <v>54</v>
      </c>
      <c r="J228" s="52" t="s">
        <v>54</v>
      </c>
      <c r="K228" s="27">
        <f t="shared" si="35"/>
        <v>25</v>
      </c>
      <c r="L228" s="29">
        <f ca="1" t="shared" si="31"/>
        <v>1</v>
      </c>
      <c r="M228" s="29"/>
      <c r="N228" s="28" t="s">
        <v>59</v>
      </c>
      <c r="O228" s="28" t="s">
        <v>94</v>
      </c>
      <c r="P228" s="28" t="s">
        <v>55</v>
      </c>
      <c r="Q228" s="34"/>
      <c r="R228" s="28">
        <v>4</v>
      </c>
      <c r="S228" s="29">
        <v>0</v>
      </c>
      <c r="T228" s="29">
        <v>2</v>
      </c>
      <c r="U228" s="29">
        <f t="shared" si="32"/>
        <v>5</v>
      </c>
      <c r="V228" s="94" t="s">
        <v>562</v>
      </c>
    </row>
    <row r="229" spans="1:22" s="30" customFormat="1" ht="12.75">
      <c r="A229" s="24">
        <f t="shared" si="29"/>
      </c>
      <c r="B229" s="24" t="s">
        <v>52</v>
      </c>
      <c r="C229" s="29">
        <f t="shared" si="33"/>
        <v>1.5</v>
      </c>
      <c r="D229" s="29">
        <f t="shared" si="30"/>
        <v>8.5</v>
      </c>
      <c r="E229" s="29">
        <f t="shared" si="34"/>
        <v>9</v>
      </c>
      <c r="F229" s="28" t="s">
        <v>271</v>
      </c>
      <c r="G229" s="26" t="s">
        <v>29</v>
      </c>
      <c r="H229" s="26" t="s">
        <v>24</v>
      </c>
      <c r="I229" s="52" t="s">
        <v>54</v>
      </c>
      <c r="J229" s="52" t="s">
        <v>54</v>
      </c>
      <c r="K229" s="27">
        <f t="shared" si="35"/>
        <v>10</v>
      </c>
      <c r="L229" s="29">
        <f ca="1" t="shared" si="31"/>
        <v>1</v>
      </c>
      <c r="M229" s="29"/>
      <c r="N229" s="28" t="s">
        <v>426</v>
      </c>
      <c r="O229" s="28" t="s">
        <v>265</v>
      </c>
      <c r="P229" s="28" t="s">
        <v>55</v>
      </c>
      <c r="Q229" s="34"/>
      <c r="R229" s="28">
        <v>2</v>
      </c>
      <c r="S229" s="29">
        <v>0</v>
      </c>
      <c r="T229" s="29">
        <v>1</v>
      </c>
      <c r="U229" s="29">
        <f t="shared" si="32"/>
        <v>4</v>
      </c>
      <c r="V229" s="31"/>
    </row>
    <row r="230" spans="1:22" s="30" customFormat="1" ht="12.75">
      <c r="A230" s="24">
        <f t="shared" si="29"/>
      </c>
      <c r="B230" s="24" t="s">
        <v>52</v>
      </c>
      <c r="C230" s="29">
        <f t="shared" si="33"/>
        <v>1.5</v>
      </c>
      <c r="D230" s="29">
        <f t="shared" si="30"/>
        <v>18.5</v>
      </c>
      <c r="E230" s="29">
        <f t="shared" si="34"/>
        <v>19</v>
      </c>
      <c r="F230" s="28" t="s">
        <v>272</v>
      </c>
      <c r="G230" s="26" t="s">
        <v>29</v>
      </c>
      <c r="H230" s="26" t="s">
        <v>24</v>
      </c>
      <c r="I230" s="52" t="s">
        <v>54</v>
      </c>
      <c r="J230" s="52" t="s">
        <v>54</v>
      </c>
      <c r="K230" s="27">
        <f t="shared" si="35"/>
        <v>20</v>
      </c>
      <c r="L230" s="29">
        <f ca="1" t="shared" si="31"/>
        <v>1</v>
      </c>
      <c r="M230" s="29"/>
      <c r="N230" s="28" t="s">
        <v>426</v>
      </c>
      <c r="O230" s="28" t="s">
        <v>265</v>
      </c>
      <c r="P230" s="28" t="s">
        <v>55</v>
      </c>
      <c r="Q230" s="34"/>
      <c r="R230" s="28">
        <v>3</v>
      </c>
      <c r="S230" s="29">
        <v>0</v>
      </c>
      <c r="T230" s="29">
        <v>2</v>
      </c>
      <c r="U230" s="29">
        <f t="shared" si="32"/>
        <v>5</v>
      </c>
      <c r="V230" s="31"/>
    </row>
    <row r="231" spans="1:22" s="30" customFormat="1" ht="12.75">
      <c r="A231" s="24">
        <f t="shared" si="29"/>
      </c>
      <c r="B231" s="24" t="s">
        <v>52</v>
      </c>
      <c r="C231" s="29">
        <f t="shared" si="33"/>
        <v>1.5</v>
      </c>
      <c r="D231" s="29">
        <f t="shared" si="30"/>
        <v>18.5</v>
      </c>
      <c r="E231" s="29">
        <f t="shared" si="34"/>
        <v>19</v>
      </c>
      <c r="F231" s="28" t="s">
        <v>273</v>
      </c>
      <c r="G231" s="26" t="s">
        <v>29</v>
      </c>
      <c r="H231" s="26" t="s">
        <v>24</v>
      </c>
      <c r="I231" s="52" t="s">
        <v>54</v>
      </c>
      <c r="J231" s="52" t="s">
        <v>23</v>
      </c>
      <c r="K231" s="27">
        <f t="shared" si="35"/>
        <v>20</v>
      </c>
      <c r="L231" s="29">
        <f ca="1" t="shared" si="31"/>
        <v>1</v>
      </c>
      <c r="M231" s="29"/>
      <c r="N231" s="28" t="s">
        <v>426</v>
      </c>
      <c r="O231" s="28" t="s">
        <v>94</v>
      </c>
      <c r="P231" s="28" t="s">
        <v>55</v>
      </c>
      <c r="Q231" s="34"/>
      <c r="R231" s="28">
        <v>3</v>
      </c>
      <c r="S231" s="29">
        <v>0</v>
      </c>
      <c r="T231" s="29">
        <v>1</v>
      </c>
      <c r="U231" s="29">
        <f t="shared" si="32"/>
        <v>5</v>
      </c>
      <c r="V231" s="31"/>
    </row>
    <row r="232" spans="1:22" s="30" customFormat="1" ht="12.75">
      <c r="A232" s="24">
        <f t="shared" si="29"/>
      </c>
      <c r="B232" s="24" t="s">
        <v>52</v>
      </c>
      <c r="C232" s="29">
        <f t="shared" si="33"/>
        <v>1.5</v>
      </c>
      <c r="D232" s="29">
        <f t="shared" si="30"/>
        <v>23.5</v>
      </c>
      <c r="E232" s="29">
        <f t="shared" si="34"/>
        <v>24</v>
      </c>
      <c r="F232" s="28" t="s">
        <v>274</v>
      </c>
      <c r="G232" s="26" t="s">
        <v>29</v>
      </c>
      <c r="H232" s="26" t="s">
        <v>24</v>
      </c>
      <c r="I232" s="52" t="s">
        <v>54</v>
      </c>
      <c r="J232" s="52" t="s">
        <v>54</v>
      </c>
      <c r="K232" s="27">
        <f t="shared" si="35"/>
        <v>25</v>
      </c>
      <c r="L232" s="29">
        <f ca="1" t="shared" si="31"/>
        <v>1</v>
      </c>
      <c r="M232" s="29"/>
      <c r="N232" s="28" t="s">
        <v>426</v>
      </c>
      <c r="O232" s="28" t="s">
        <v>94</v>
      </c>
      <c r="P232" s="28" t="s">
        <v>55</v>
      </c>
      <c r="Q232" s="34"/>
      <c r="R232" s="28">
        <v>2</v>
      </c>
      <c r="S232" s="29">
        <v>0</v>
      </c>
      <c r="T232" s="29">
        <v>3</v>
      </c>
      <c r="U232" s="29">
        <f t="shared" si="32"/>
        <v>7</v>
      </c>
      <c r="V232" s="31"/>
    </row>
    <row r="233" spans="1:22" s="30" customFormat="1" ht="12.75">
      <c r="A233" s="24">
        <f t="shared" si="29"/>
      </c>
      <c r="B233" s="24" t="s">
        <v>52</v>
      </c>
      <c r="C233" s="29">
        <f t="shared" si="33"/>
        <v>1.5</v>
      </c>
      <c r="D233" s="29">
        <f t="shared" si="30"/>
        <v>33.5</v>
      </c>
      <c r="E233" s="29">
        <f t="shared" si="34"/>
        <v>34</v>
      </c>
      <c r="F233" s="28" t="s">
        <v>296</v>
      </c>
      <c r="G233" s="26" t="s">
        <v>29</v>
      </c>
      <c r="H233" s="26" t="s">
        <v>24</v>
      </c>
      <c r="I233" s="52" t="s">
        <v>30</v>
      </c>
      <c r="J233" s="52"/>
      <c r="K233" s="27">
        <f t="shared" si="35"/>
        <v>35</v>
      </c>
      <c r="L233" s="29">
        <f ca="1" t="shared" si="31"/>
        <v>1</v>
      </c>
      <c r="M233" s="29"/>
      <c r="N233" s="28" t="s">
        <v>65</v>
      </c>
      <c r="O233" s="28" t="s">
        <v>66</v>
      </c>
      <c r="P233" s="28" t="s">
        <v>55</v>
      </c>
      <c r="Q233" s="34"/>
      <c r="R233" s="28">
        <v>2</v>
      </c>
      <c r="S233" s="29">
        <v>0</v>
      </c>
      <c r="T233" s="29">
        <v>4</v>
      </c>
      <c r="U233" s="29">
        <f t="shared" si="32"/>
        <v>9</v>
      </c>
      <c r="V233" s="31"/>
    </row>
    <row r="234" spans="1:22" s="30" customFormat="1" ht="12.75">
      <c r="A234" s="24">
        <f>IF(OR(B234="Y",B234="M"),K234,"")</f>
      </c>
      <c r="B234" s="24" t="s">
        <v>52</v>
      </c>
      <c r="C234" s="29">
        <f>IF(G234="","--",(L234-Sta+Int)/2)</f>
        <v>1.5</v>
      </c>
      <c r="D234" s="29">
        <f>IF(AND(K234&lt;&gt;"",K234&lt;&gt;"G"),K234-C234,"--")</f>
        <v>38.5</v>
      </c>
      <c r="E234" s="29">
        <f>IF(AND(K234&lt;&gt;"",K234&lt;&gt;"G"),K234-L234,"--")</f>
        <v>39</v>
      </c>
      <c r="F234" s="28" t="s">
        <v>275</v>
      </c>
      <c r="G234" s="26" t="s">
        <v>29</v>
      </c>
      <c r="H234" s="26" t="s">
        <v>24</v>
      </c>
      <c r="I234" s="52" t="s">
        <v>54</v>
      </c>
      <c r="J234" s="52" t="s">
        <v>25</v>
      </c>
      <c r="K234" s="27">
        <f>IF(R234="G","G",IF(R234&gt;=5,R234+U234*5,IF((R234+U234)&lt;=5,(R234+U234),(5+5*(R234+U234-5)))))</f>
        <v>40</v>
      </c>
      <c r="L234" s="29">
        <f ca="1">IF(G234="","--",IF(I234="",INDIRECT(G234),MIN(INDIRECT(G234),INDIRECT(LEFT(I234,2)),INDIRECT(RIGHT(I234,2))))+IF(J234="",INDIRECT(H234),MIN(INDIRECT(H234),INDIRECT(LEFT(J234,2)),INDIRECT(RIGHT(J234,2))))+Sta+IF(M234="",0,$G$2))</f>
        <v>1</v>
      </c>
      <c r="M234" s="29"/>
      <c r="N234" s="28" t="s">
        <v>59</v>
      </c>
      <c r="O234" s="28" t="s">
        <v>94</v>
      </c>
      <c r="P234" s="28" t="s">
        <v>55</v>
      </c>
      <c r="Q234" s="34"/>
      <c r="R234" s="28">
        <v>2</v>
      </c>
      <c r="S234" s="29">
        <v>0</v>
      </c>
      <c r="T234" s="29">
        <v>7</v>
      </c>
      <c r="U234" s="29">
        <f>S234+T234+VLOOKUP(N234,Ranges,2,FALSE)+VLOOKUP(O234,Durations,2,FALSE)+VLOOKUP(P234,Targets,2,FALSE)</f>
        <v>10</v>
      </c>
      <c r="V234" s="31"/>
    </row>
    <row r="235" spans="1:22" s="30" customFormat="1" ht="12.75">
      <c r="A235" s="24">
        <f>IF(OR(B235="Y",B235="M"),K235,"")</f>
      </c>
      <c r="B235" s="24" t="s">
        <v>52</v>
      </c>
      <c r="C235" s="29">
        <f>IF(G235="","--",(L235-Sta+Int)/2)</f>
        <v>1.5</v>
      </c>
      <c r="D235" s="29" t="str">
        <f>IF(AND(K235&lt;&gt;"",K235&lt;&gt;"G"),K235-C235,"--")</f>
        <v>--</v>
      </c>
      <c r="E235" s="29" t="str">
        <f>IF(AND(K235&lt;&gt;"",K235&lt;&gt;"G"),K235-L235,"--")</f>
        <v>--</v>
      </c>
      <c r="F235" s="50" t="s">
        <v>278</v>
      </c>
      <c r="G235" s="26" t="s">
        <v>30</v>
      </c>
      <c r="H235" s="26" t="s">
        <v>24</v>
      </c>
      <c r="I235" s="52" t="s">
        <v>54</v>
      </c>
      <c r="J235" s="52" t="s">
        <v>54</v>
      </c>
      <c r="K235" s="34" t="str">
        <f>IF(R235="G","G",IF(R235&gt;=5,R235+U235*5,IF((R235+U235)&lt;=5,(R235+U235),(5+5*(R235+U235-5)))))</f>
        <v>G</v>
      </c>
      <c r="L235" s="29">
        <f ca="1">IF(G235="","--",IF(I235="",INDIRECT(G235),MIN(INDIRECT(G235),INDIRECT(LEFT(I235,2)),INDIRECT(RIGHT(I235,2))))+IF(J235="",INDIRECT(H235),MIN(INDIRECT(H235),INDIRECT(LEFT(J235,2)),INDIRECT(RIGHT(J235,2))))+Sta+IF(M235="",0,$G$2))</f>
        <v>1</v>
      </c>
      <c r="M235" s="29"/>
      <c r="N235" s="28" t="s">
        <v>93</v>
      </c>
      <c r="O235" s="28" t="s">
        <v>66</v>
      </c>
      <c r="P235" s="28" t="s">
        <v>431</v>
      </c>
      <c r="Q235" s="34"/>
      <c r="R235" s="28" t="s">
        <v>63</v>
      </c>
      <c r="S235" s="29">
        <v>0</v>
      </c>
      <c r="T235" s="29">
        <v>0</v>
      </c>
      <c r="U235" s="29">
        <f>S235+T235+VLOOKUP(N235,Ranges,2,FALSE)+VLOOKUP(O235,Durations,2,FALSE)+VLOOKUP(P235,Targets,2,FALSE)</f>
        <v>5</v>
      </c>
      <c r="V235" s="31"/>
    </row>
    <row r="236" spans="1:22" s="30" customFormat="1" ht="12.75">
      <c r="A236" s="24">
        <f>IF(OR(B236="Y",B236="M"),K236,"")</f>
      </c>
      <c r="B236" s="24" t="s">
        <v>52</v>
      </c>
      <c r="C236" s="29">
        <f>IF(G236="","--",(L236-Sta+Int)/2)</f>
        <v>1.5</v>
      </c>
      <c r="D236" s="29">
        <f>IF(AND(K236&lt;&gt;"",K236&lt;&gt;"G"),K236-C236,"--")</f>
        <v>3.5</v>
      </c>
      <c r="E236" s="29">
        <f>IF(AND(K236&lt;&gt;"",K236&lt;&gt;"G"),K236-L236,"--")</f>
        <v>4</v>
      </c>
      <c r="F236" s="28" t="s">
        <v>451</v>
      </c>
      <c r="G236" s="26" t="s">
        <v>30</v>
      </c>
      <c r="H236" s="26" t="s">
        <v>24</v>
      </c>
      <c r="I236" s="52" t="s">
        <v>54</v>
      </c>
      <c r="J236" s="52" t="s">
        <v>54</v>
      </c>
      <c r="K236" s="27">
        <f>IF(R236="G","G",IF(R236&gt;=5,R236+U236*5,IF((R236+U236)&lt;=5,(R236+U236),(5+5*(R236+U236-5)))))</f>
        <v>5</v>
      </c>
      <c r="L236" s="29">
        <f ca="1">IF(G236="","--",IF(I236="",INDIRECT(G236),MIN(INDIRECT(G236),INDIRECT(LEFT(I236,2)),INDIRECT(RIGHT(I236,2))))+IF(J236="",INDIRECT(H236),MIN(INDIRECT(H236),INDIRECT(LEFT(J236,2)),INDIRECT(RIGHT(J236,2))))+Sta+IF(M236="",0,$G$2))</f>
        <v>1</v>
      </c>
      <c r="M236" s="29"/>
      <c r="N236" s="28" t="s">
        <v>59</v>
      </c>
      <c r="O236" s="28" t="s">
        <v>66</v>
      </c>
      <c r="P236" s="28" t="s">
        <v>105</v>
      </c>
      <c r="Q236" s="34"/>
      <c r="R236" s="28">
        <v>1</v>
      </c>
      <c r="S236" s="29">
        <v>0</v>
      </c>
      <c r="T236" s="29">
        <v>0</v>
      </c>
      <c r="U236" s="29">
        <f>S236+T236+VLOOKUP(N236,Ranges,2,FALSE)+VLOOKUP(O236,Durations,2,FALSE)+VLOOKUP(P236,Targets,2,FALSE)</f>
        <v>4</v>
      </c>
      <c r="V236" s="31"/>
    </row>
    <row r="237" spans="1:22" s="30" customFormat="1" ht="12.75">
      <c r="A237" s="24">
        <f t="shared" si="29"/>
      </c>
      <c r="B237" s="24" t="s">
        <v>52</v>
      </c>
      <c r="C237" s="29">
        <f t="shared" si="33"/>
        <v>1.5</v>
      </c>
      <c r="D237" s="29">
        <f t="shared" si="30"/>
        <v>13.5</v>
      </c>
      <c r="E237" s="29">
        <f t="shared" si="34"/>
        <v>14</v>
      </c>
      <c r="F237" s="28" t="s">
        <v>276</v>
      </c>
      <c r="G237" s="26" t="s">
        <v>30</v>
      </c>
      <c r="H237" s="26" t="s">
        <v>24</v>
      </c>
      <c r="I237" s="52" t="s">
        <v>54</v>
      </c>
      <c r="J237" s="52" t="s">
        <v>54</v>
      </c>
      <c r="K237" s="27">
        <f t="shared" si="35"/>
        <v>15</v>
      </c>
      <c r="L237" s="29">
        <f ca="1" t="shared" si="31"/>
        <v>1</v>
      </c>
      <c r="M237" s="29"/>
      <c r="N237" s="28" t="s">
        <v>93</v>
      </c>
      <c r="O237" s="28" t="s">
        <v>94</v>
      </c>
      <c r="P237" s="28" t="s">
        <v>431</v>
      </c>
      <c r="Q237" s="34"/>
      <c r="R237" s="28">
        <v>1</v>
      </c>
      <c r="S237" s="29">
        <v>0</v>
      </c>
      <c r="T237" s="29">
        <v>0</v>
      </c>
      <c r="U237" s="29">
        <f t="shared" si="32"/>
        <v>6</v>
      </c>
      <c r="V237" s="31"/>
    </row>
    <row r="238" spans="1:22" s="30" customFormat="1" ht="12.75">
      <c r="A238" s="24">
        <f t="shared" si="29"/>
      </c>
      <c r="B238" s="24" t="s">
        <v>52</v>
      </c>
      <c r="C238" s="29">
        <f t="shared" si="33"/>
        <v>1.5</v>
      </c>
      <c r="D238" s="29">
        <f t="shared" si="30"/>
        <v>18.5</v>
      </c>
      <c r="E238" s="29">
        <f t="shared" si="34"/>
        <v>19</v>
      </c>
      <c r="F238" s="28" t="s">
        <v>452</v>
      </c>
      <c r="G238" s="26" t="s">
        <v>30</v>
      </c>
      <c r="H238" s="26" t="s">
        <v>24</v>
      </c>
      <c r="I238" s="52" t="s">
        <v>54</v>
      </c>
      <c r="J238" s="52" t="s">
        <v>54</v>
      </c>
      <c r="K238" s="27">
        <f t="shared" si="35"/>
        <v>20</v>
      </c>
      <c r="L238" s="29">
        <f ca="1" t="shared" si="31"/>
        <v>1</v>
      </c>
      <c r="M238" s="29"/>
      <c r="N238" s="28" t="s">
        <v>65</v>
      </c>
      <c r="O238" s="28" t="s">
        <v>66</v>
      </c>
      <c r="P238" s="28" t="s">
        <v>105</v>
      </c>
      <c r="Q238" s="34"/>
      <c r="R238" s="28">
        <v>1</v>
      </c>
      <c r="S238" s="29">
        <v>0</v>
      </c>
      <c r="T238" s="29">
        <v>0</v>
      </c>
      <c r="U238" s="29">
        <f t="shared" si="32"/>
        <v>7</v>
      </c>
      <c r="V238" s="31"/>
    </row>
    <row r="239" spans="1:22" s="30" customFormat="1" ht="12.75">
      <c r="A239" s="24">
        <f>IF(OR(B239="Y",B239="M"),K239,"")</f>
      </c>
      <c r="B239" s="24" t="s">
        <v>52</v>
      </c>
      <c r="C239" s="29">
        <f>IF(G239="","--",(L239-Sta+Int)/2)</f>
        <v>1.5</v>
      </c>
      <c r="D239" s="29">
        <f>IF(AND(K239&lt;&gt;"",K239&lt;&gt;"G"),K239-C239,"--")</f>
        <v>23.5</v>
      </c>
      <c r="E239" s="29">
        <f>IF(AND(K239&lt;&gt;"",K239&lt;&gt;"G"),K239-L239,"--")</f>
        <v>24</v>
      </c>
      <c r="F239" s="28" t="s">
        <v>453</v>
      </c>
      <c r="G239" s="26" t="s">
        <v>30</v>
      </c>
      <c r="H239" s="26" t="s">
        <v>24</v>
      </c>
      <c r="I239" s="52" t="s">
        <v>54</v>
      </c>
      <c r="J239" s="52" t="s">
        <v>54</v>
      </c>
      <c r="K239" s="27">
        <f>IF(R239="G","G",IF(R239&gt;=5,R239+U239*5,IF((R239+U239)&lt;=5,(R239+U239),(5+5*(R239+U239-5)))))</f>
        <v>25</v>
      </c>
      <c r="L239" s="29">
        <f ca="1">IF(G239="","--",IF(I239="",INDIRECT(G239),MIN(INDIRECT(G239),INDIRECT(LEFT(I239,2)),INDIRECT(RIGHT(I239,2))))+IF(J239="",INDIRECT(H239),MIN(INDIRECT(H239),INDIRECT(LEFT(J239,2)),INDIRECT(RIGHT(J239,2))))+Sta+IF(M239="",0,$G$2))</f>
        <v>1</v>
      </c>
      <c r="M239" s="29"/>
      <c r="N239" s="28" t="s">
        <v>93</v>
      </c>
      <c r="O239" s="28" t="s">
        <v>94</v>
      </c>
      <c r="P239" s="28" t="s">
        <v>431</v>
      </c>
      <c r="Q239" s="34"/>
      <c r="R239" s="28">
        <v>3</v>
      </c>
      <c r="S239" s="29">
        <v>0</v>
      </c>
      <c r="T239" s="29">
        <v>0</v>
      </c>
      <c r="U239" s="29">
        <f>S239+T239+VLOOKUP(N239,Ranges,2,FALSE)+VLOOKUP(O239,Durations,2,FALSE)+VLOOKUP(P239,Targets,2,FALSE)</f>
        <v>6</v>
      </c>
      <c r="V239" s="31"/>
    </row>
    <row r="240" spans="1:22" s="30" customFormat="1" ht="12.75">
      <c r="A240" s="24">
        <f t="shared" si="29"/>
      </c>
      <c r="B240" s="24" t="s">
        <v>52</v>
      </c>
      <c r="C240" s="29">
        <f t="shared" si="33"/>
        <v>1.5</v>
      </c>
      <c r="D240" s="29">
        <f t="shared" si="30"/>
        <v>23.5</v>
      </c>
      <c r="E240" s="29">
        <f t="shared" si="34"/>
        <v>24</v>
      </c>
      <c r="F240" s="28" t="s">
        <v>277</v>
      </c>
      <c r="G240" s="26" t="s">
        <v>30</v>
      </c>
      <c r="H240" s="26" t="s">
        <v>24</v>
      </c>
      <c r="I240" s="52" t="s">
        <v>54</v>
      </c>
      <c r="J240" s="52" t="s">
        <v>54</v>
      </c>
      <c r="K240" s="27">
        <f t="shared" si="35"/>
        <v>25</v>
      </c>
      <c r="L240" s="29">
        <f ca="1" t="shared" si="31"/>
        <v>1</v>
      </c>
      <c r="M240" s="29"/>
      <c r="N240" s="28" t="s">
        <v>65</v>
      </c>
      <c r="O240" s="28" t="s">
        <v>66</v>
      </c>
      <c r="P240" s="28" t="s">
        <v>105</v>
      </c>
      <c r="Q240" s="34"/>
      <c r="R240" s="28">
        <v>2</v>
      </c>
      <c r="S240" s="29">
        <v>0</v>
      </c>
      <c r="T240" s="29">
        <v>0</v>
      </c>
      <c r="U240" s="29">
        <f t="shared" si="32"/>
        <v>7</v>
      </c>
      <c r="V240" s="31"/>
    </row>
    <row r="241" spans="1:22" s="30" customFormat="1" ht="12.75">
      <c r="A241" s="24">
        <f t="shared" si="29"/>
      </c>
      <c r="B241" s="24" t="s">
        <v>52</v>
      </c>
      <c r="C241" s="29">
        <f t="shared" si="33"/>
        <v>1.5</v>
      </c>
      <c r="D241" s="29">
        <f t="shared" si="30"/>
        <v>3.5</v>
      </c>
      <c r="E241" s="29">
        <f t="shared" si="34"/>
        <v>4</v>
      </c>
      <c r="F241" s="28" t="s">
        <v>279</v>
      </c>
      <c r="G241" s="26" t="s">
        <v>32</v>
      </c>
      <c r="H241" s="26" t="s">
        <v>24</v>
      </c>
      <c r="I241" s="52" t="s">
        <v>54</v>
      </c>
      <c r="J241" s="52" t="s">
        <v>54</v>
      </c>
      <c r="K241" s="27">
        <f t="shared" si="35"/>
        <v>5</v>
      </c>
      <c r="L241" s="29">
        <f ca="1" t="shared" si="31"/>
        <v>1</v>
      </c>
      <c r="M241" s="29"/>
      <c r="N241" s="28" t="s">
        <v>59</v>
      </c>
      <c r="O241" s="28" t="s">
        <v>94</v>
      </c>
      <c r="P241" s="28" t="s">
        <v>55</v>
      </c>
      <c r="Q241" s="34"/>
      <c r="R241" s="28">
        <v>2</v>
      </c>
      <c r="S241" s="29">
        <v>0</v>
      </c>
      <c r="T241" s="29">
        <v>0</v>
      </c>
      <c r="U241" s="29">
        <f t="shared" si="32"/>
        <v>3</v>
      </c>
      <c r="V241" s="31"/>
    </row>
    <row r="242" spans="1:22" s="30" customFormat="1" ht="12.75">
      <c r="A242" s="24">
        <f>IF(OR(B242="Y",B242="M"),K242,"")</f>
      </c>
      <c r="B242" s="24" t="s">
        <v>52</v>
      </c>
      <c r="C242" s="29">
        <f>IF(G242="","--",(L242-Sta+Int)/2)</f>
        <v>1.5</v>
      </c>
      <c r="D242" s="29">
        <f>IF(AND(K242&lt;&gt;"",K242&lt;&gt;"G"),K242-C242,"--")</f>
        <v>8.5</v>
      </c>
      <c r="E242" s="29">
        <f>IF(AND(K242&lt;&gt;"",K242&lt;&gt;"G"),K242-L242,"--")</f>
        <v>9</v>
      </c>
      <c r="F242" s="28" t="s">
        <v>281</v>
      </c>
      <c r="G242" s="26" t="s">
        <v>32</v>
      </c>
      <c r="H242" s="26" t="s">
        <v>24</v>
      </c>
      <c r="I242" s="52" t="s">
        <v>54</v>
      </c>
      <c r="J242" s="52" t="s">
        <v>54</v>
      </c>
      <c r="K242" s="27">
        <f>IF(R242="G","G",IF(R242&gt;=5,R242+U242*5,IF((R242+U242)&lt;=5,(R242+U242),(5+5*(R242+U242-5)))))</f>
        <v>10</v>
      </c>
      <c r="L242" s="29">
        <f ca="1">IF(G242="","--",IF(I242="",INDIRECT(G242),MIN(INDIRECT(G242),INDIRECT(LEFT(I242,2)),INDIRECT(RIGHT(I242,2))))+IF(J242="",INDIRECT(H242),MIN(INDIRECT(H242),INDIRECT(LEFT(J242,2)),INDIRECT(RIGHT(J242,2))))+Sta+IF(M242="",0,$G$2))</f>
        <v>1</v>
      </c>
      <c r="M242" s="29"/>
      <c r="N242" s="28" t="s">
        <v>59</v>
      </c>
      <c r="O242" s="28" t="s">
        <v>94</v>
      </c>
      <c r="P242" s="28" t="s">
        <v>55</v>
      </c>
      <c r="Q242" s="34"/>
      <c r="R242" s="28">
        <v>3</v>
      </c>
      <c r="S242" s="29">
        <v>0</v>
      </c>
      <c r="T242" s="29">
        <v>0</v>
      </c>
      <c r="U242" s="29">
        <f>S242+T242+VLOOKUP(N242,Ranges,2,FALSE)+VLOOKUP(O242,Durations,2,FALSE)+VLOOKUP(P242,Targets,2,FALSE)</f>
        <v>3</v>
      </c>
      <c r="V242" s="94" t="s">
        <v>563</v>
      </c>
    </row>
    <row r="243" spans="1:22" s="30" customFormat="1" ht="12.75">
      <c r="A243" s="24">
        <f t="shared" si="29"/>
      </c>
      <c r="B243" s="24" t="s">
        <v>52</v>
      </c>
      <c r="C243" s="29">
        <f t="shared" si="33"/>
        <v>1.5</v>
      </c>
      <c r="D243" s="29">
        <f t="shared" si="30"/>
        <v>8.5</v>
      </c>
      <c r="E243" s="29">
        <f t="shared" si="34"/>
        <v>9</v>
      </c>
      <c r="F243" s="28" t="s">
        <v>280</v>
      </c>
      <c r="G243" s="26" t="s">
        <v>32</v>
      </c>
      <c r="H243" s="26" t="s">
        <v>24</v>
      </c>
      <c r="I243" s="52" t="s">
        <v>54</v>
      </c>
      <c r="J243" s="52" t="s">
        <v>54</v>
      </c>
      <c r="K243" s="27">
        <f t="shared" si="35"/>
        <v>10</v>
      </c>
      <c r="L243" s="29">
        <f ca="1" t="shared" si="31"/>
        <v>1</v>
      </c>
      <c r="M243" s="29"/>
      <c r="N243" s="28" t="s">
        <v>59</v>
      </c>
      <c r="O243" s="28" t="s">
        <v>94</v>
      </c>
      <c r="P243" s="28" t="s">
        <v>105</v>
      </c>
      <c r="Q243" s="34"/>
      <c r="R243" s="28">
        <v>1</v>
      </c>
      <c r="S243" s="29">
        <v>0</v>
      </c>
      <c r="T243" s="29">
        <v>0</v>
      </c>
      <c r="U243" s="29">
        <f t="shared" si="32"/>
        <v>5</v>
      </c>
      <c r="V243" s="31"/>
    </row>
    <row r="244" spans="1:22" s="30" customFormat="1" ht="12.75">
      <c r="A244" s="24">
        <f t="shared" si="29"/>
      </c>
      <c r="B244" s="24" t="s">
        <v>52</v>
      </c>
      <c r="C244" s="29">
        <f t="shared" si="33"/>
        <v>1.5</v>
      </c>
      <c r="D244" s="29">
        <f t="shared" si="30"/>
        <v>13.5</v>
      </c>
      <c r="E244" s="29">
        <f t="shared" si="34"/>
        <v>14</v>
      </c>
      <c r="F244" s="28" t="s">
        <v>282</v>
      </c>
      <c r="G244" s="26" t="s">
        <v>32</v>
      </c>
      <c r="H244" s="26" t="s">
        <v>24</v>
      </c>
      <c r="I244" s="52" t="s">
        <v>54</v>
      </c>
      <c r="J244" s="52" t="s">
        <v>54</v>
      </c>
      <c r="K244" s="27">
        <f t="shared" si="35"/>
        <v>15</v>
      </c>
      <c r="L244" s="29">
        <f ca="1" t="shared" si="31"/>
        <v>1</v>
      </c>
      <c r="M244" s="29"/>
      <c r="N244" s="28" t="s">
        <v>59</v>
      </c>
      <c r="O244" s="28" t="s">
        <v>94</v>
      </c>
      <c r="P244" s="28" t="s">
        <v>55</v>
      </c>
      <c r="Q244" s="34"/>
      <c r="R244" s="28">
        <v>4</v>
      </c>
      <c r="S244" s="29">
        <v>0</v>
      </c>
      <c r="T244" s="29">
        <v>0</v>
      </c>
      <c r="U244" s="29">
        <f t="shared" si="32"/>
        <v>3</v>
      </c>
      <c r="V244" s="31"/>
    </row>
    <row r="245" spans="1:22" s="30" customFormat="1" ht="12.75">
      <c r="A245" s="24">
        <f t="shared" si="29"/>
      </c>
      <c r="B245" s="24" t="s">
        <v>52</v>
      </c>
      <c r="C245" s="29">
        <f t="shared" si="33"/>
        <v>1.5</v>
      </c>
      <c r="D245" s="29">
        <f t="shared" si="30"/>
        <v>18.5</v>
      </c>
      <c r="E245" s="29">
        <f t="shared" si="34"/>
        <v>19</v>
      </c>
      <c r="F245" s="28" t="s">
        <v>283</v>
      </c>
      <c r="G245" s="26" t="s">
        <v>32</v>
      </c>
      <c r="H245" s="26" t="s">
        <v>24</v>
      </c>
      <c r="I245" s="52" t="s">
        <v>54</v>
      </c>
      <c r="J245" s="52" t="s">
        <v>54</v>
      </c>
      <c r="K245" s="27">
        <f t="shared" si="35"/>
        <v>20</v>
      </c>
      <c r="L245" s="29">
        <f ca="1" t="shared" si="31"/>
        <v>1</v>
      </c>
      <c r="M245" s="29"/>
      <c r="N245" s="28" t="s">
        <v>59</v>
      </c>
      <c r="O245" s="28" t="s">
        <v>94</v>
      </c>
      <c r="P245" s="28" t="s">
        <v>55</v>
      </c>
      <c r="Q245" s="34"/>
      <c r="R245" s="28">
        <v>5</v>
      </c>
      <c r="S245" s="29">
        <v>0</v>
      </c>
      <c r="T245" s="29">
        <v>0</v>
      </c>
      <c r="U245" s="29">
        <f t="shared" si="32"/>
        <v>3</v>
      </c>
      <c r="V245" s="31"/>
    </row>
    <row r="246" spans="1:22" s="30" customFormat="1" ht="12.75">
      <c r="A246" s="24">
        <f>IF(OR(B246="Y",B246="M"),K246,"")</f>
      </c>
      <c r="B246" s="24" t="s">
        <v>52</v>
      </c>
      <c r="C246" s="29">
        <f>IF(G246="","--",(L246-Sta+Int)/2)</f>
        <v>1.5</v>
      </c>
      <c r="D246" s="29" t="str">
        <f>IF(AND(K246&lt;&gt;"",K246&lt;&gt;"G"),K246-C246,"--")</f>
        <v>--</v>
      </c>
      <c r="E246" s="29" t="str">
        <f>IF(AND(K246&lt;&gt;"",K246&lt;&gt;"G"),K246-L246,"--")</f>
        <v>--</v>
      </c>
      <c r="F246" s="50" t="s">
        <v>291</v>
      </c>
      <c r="G246" s="26" t="s">
        <v>33</v>
      </c>
      <c r="H246" s="26" t="s">
        <v>24</v>
      </c>
      <c r="I246" s="52" t="s">
        <v>54</v>
      </c>
      <c r="J246" s="52" t="s">
        <v>54</v>
      </c>
      <c r="K246" s="34" t="str">
        <f>IF(R246="G","G",IF(R246&gt;=5,R246+U246*5,IF((R246+U246)&lt;=5,(R246+U246),(5+5*(R246+U246-5)))))</f>
        <v>G</v>
      </c>
      <c r="L246" s="29">
        <f ca="1">IF(G246="","--",IF(I246="",INDIRECT(G246),MIN(INDIRECT(G246),INDIRECT(LEFT(I246,2)),INDIRECT(RIGHT(I246,2))))+IF(J246="",INDIRECT(H246),MIN(INDIRECT(H246),INDIRECT(LEFT(J246,2)),INDIRECT(RIGHT(J246,2))))+Sta+IF(M246="",0,$G$2))</f>
        <v>1</v>
      </c>
      <c r="M246" s="29"/>
      <c r="N246" s="28" t="s">
        <v>426</v>
      </c>
      <c r="O246" s="28" t="s">
        <v>76</v>
      </c>
      <c r="P246" s="28" t="s">
        <v>55</v>
      </c>
      <c r="Q246" s="34"/>
      <c r="R246" s="28" t="s">
        <v>63</v>
      </c>
      <c r="S246" s="29">
        <v>0</v>
      </c>
      <c r="T246" s="29">
        <v>0</v>
      </c>
      <c r="U246" s="29">
        <f>S246+T246+VLOOKUP(N246,Ranges,2,FALSE)+VLOOKUP(O246,Durations,2,FALSE)+VLOOKUP(P246,Targets,2,FALSE)</f>
        <v>2</v>
      </c>
      <c r="V246" s="31"/>
    </row>
    <row r="247" spans="1:22" s="30" customFormat="1" ht="12.75">
      <c r="A247" s="24">
        <f t="shared" si="29"/>
      </c>
      <c r="B247" s="24" t="s">
        <v>52</v>
      </c>
      <c r="C247" s="29">
        <f t="shared" si="33"/>
        <v>1.5</v>
      </c>
      <c r="D247" s="29">
        <f t="shared" si="30"/>
        <v>3.5</v>
      </c>
      <c r="E247" s="29">
        <f t="shared" si="34"/>
        <v>4</v>
      </c>
      <c r="F247" s="28" t="s">
        <v>285</v>
      </c>
      <c r="G247" s="26" t="s">
        <v>33</v>
      </c>
      <c r="H247" s="26" t="s">
        <v>24</v>
      </c>
      <c r="I247" s="52" t="s">
        <v>54</v>
      </c>
      <c r="J247" s="52" t="s">
        <v>54</v>
      </c>
      <c r="K247" s="27">
        <f t="shared" si="35"/>
        <v>5</v>
      </c>
      <c r="L247" s="29">
        <f ca="1" t="shared" si="31"/>
        <v>1</v>
      </c>
      <c r="M247" s="29"/>
      <c r="N247" s="28" t="s">
        <v>59</v>
      </c>
      <c r="O247" s="28" t="s">
        <v>94</v>
      </c>
      <c r="P247" s="28" t="s">
        <v>55</v>
      </c>
      <c r="Q247" s="34"/>
      <c r="R247" s="28">
        <v>2</v>
      </c>
      <c r="S247" s="29">
        <v>0</v>
      </c>
      <c r="T247" s="29">
        <v>0</v>
      </c>
      <c r="U247" s="29">
        <f t="shared" si="32"/>
        <v>3</v>
      </c>
      <c r="V247" s="31"/>
    </row>
    <row r="248" spans="1:22" s="30" customFormat="1" ht="12.75">
      <c r="A248" s="24">
        <f t="shared" si="29"/>
      </c>
      <c r="B248" s="24" t="s">
        <v>52</v>
      </c>
      <c r="C248" s="29">
        <f t="shared" si="33"/>
        <v>1.5</v>
      </c>
      <c r="D248" s="29">
        <f t="shared" si="30"/>
        <v>8.5</v>
      </c>
      <c r="E248" s="29">
        <f t="shared" si="34"/>
        <v>9</v>
      </c>
      <c r="F248" s="28" t="s">
        <v>286</v>
      </c>
      <c r="G248" s="26" t="s">
        <v>33</v>
      </c>
      <c r="H248" s="26" t="s">
        <v>24</v>
      </c>
      <c r="I248" s="52" t="s">
        <v>54</v>
      </c>
      <c r="J248" s="52" t="s">
        <v>54</v>
      </c>
      <c r="K248" s="27">
        <f t="shared" si="35"/>
        <v>10</v>
      </c>
      <c r="L248" s="29">
        <f ca="1" t="shared" si="31"/>
        <v>1</v>
      </c>
      <c r="M248" s="29"/>
      <c r="N248" s="28" t="s">
        <v>426</v>
      </c>
      <c r="O248" s="28" t="s">
        <v>94</v>
      </c>
      <c r="P248" s="28" t="s">
        <v>55</v>
      </c>
      <c r="Q248" s="34"/>
      <c r="R248" s="28">
        <v>2</v>
      </c>
      <c r="S248" s="29">
        <v>0</v>
      </c>
      <c r="T248" s="29">
        <v>0</v>
      </c>
      <c r="U248" s="29">
        <f t="shared" si="32"/>
        <v>4</v>
      </c>
      <c r="V248" s="31"/>
    </row>
    <row r="249" spans="1:22" s="30" customFormat="1" ht="12.75">
      <c r="A249" s="24">
        <f t="shared" si="29"/>
      </c>
      <c r="B249" s="24" t="s">
        <v>52</v>
      </c>
      <c r="C249" s="29">
        <f t="shared" si="33"/>
        <v>1.5</v>
      </c>
      <c r="D249" s="29">
        <f t="shared" si="30"/>
        <v>13.5</v>
      </c>
      <c r="E249" s="29">
        <f t="shared" si="34"/>
        <v>14</v>
      </c>
      <c r="F249" s="28" t="s">
        <v>287</v>
      </c>
      <c r="G249" s="26" t="s">
        <v>33</v>
      </c>
      <c r="H249" s="26" t="s">
        <v>24</v>
      </c>
      <c r="I249" s="52" t="s">
        <v>54</v>
      </c>
      <c r="J249" s="52" t="s">
        <v>54</v>
      </c>
      <c r="K249" s="27">
        <f t="shared" si="35"/>
        <v>15</v>
      </c>
      <c r="L249" s="29">
        <f ca="1" t="shared" si="31"/>
        <v>1</v>
      </c>
      <c r="M249" s="29"/>
      <c r="N249" s="28" t="s">
        <v>59</v>
      </c>
      <c r="O249" s="28" t="s">
        <v>94</v>
      </c>
      <c r="P249" s="28" t="s">
        <v>55</v>
      </c>
      <c r="Q249" s="34"/>
      <c r="R249" s="28">
        <v>4</v>
      </c>
      <c r="S249" s="29">
        <v>0</v>
      </c>
      <c r="T249" s="29">
        <v>0</v>
      </c>
      <c r="U249" s="29">
        <f t="shared" si="32"/>
        <v>3</v>
      </c>
      <c r="V249" s="31"/>
    </row>
    <row r="250" spans="1:22" s="30" customFormat="1" ht="12.75">
      <c r="A250" s="24">
        <f>IF(OR(B250="Y",B250="M"),K250,"")</f>
      </c>
      <c r="B250" s="24" t="s">
        <v>52</v>
      </c>
      <c r="C250" s="29">
        <f>IF(G250="","--",(L250-Sta+Int)/2)</f>
        <v>1.5</v>
      </c>
      <c r="D250" s="29">
        <f>IF(AND(K250&lt;&gt;"",K250&lt;&gt;"G"),K250-C250,"--")</f>
        <v>18.5</v>
      </c>
      <c r="E250" s="29">
        <f>IF(AND(K250&lt;&gt;"",K250&lt;&gt;"G"),K250-L250,"--")</f>
        <v>19</v>
      </c>
      <c r="F250" s="28" t="s">
        <v>289</v>
      </c>
      <c r="G250" s="26" t="s">
        <v>33</v>
      </c>
      <c r="H250" s="26" t="s">
        <v>24</v>
      </c>
      <c r="I250" s="52" t="s">
        <v>54</v>
      </c>
      <c r="J250" s="52" t="s">
        <v>54</v>
      </c>
      <c r="K250" s="27">
        <f>IF(R250="G","G",IF(R250&gt;=5,R250+U250*5,IF((R250+U250)&lt;=5,(R250+U250),(5+5*(R250+U250-5)))))</f>
        <v>20</v>
      </c>
      <c r="L250" s="29">
        <f ca="1">IF(G250="","--",IF(I250="",INDIRECT(G250),MIN(INDIRECT(G250),INDIRECT(LEFT(I250,2)),INDIRECT(RIGHT(I250,2))))+IF(J250="",INDIRECT(H250),MIN(INDIRECT(H250),INDIRECT(LEFT(J250,2)),INDIRECT(RIGHT(J250,2))))+Sta+IF(M250="",0,$G$2))</f>
        <v>1</v>
      </c>
      <c r="M250" s="29"/>
      <c r="N250" s="28" t="s">
        <v>59</v>
      </c>
      <c r="O250" s="28" t="s">
        <v>94</v>
      </c>
      <c r="P250" s="28" t="s">
        <v>55</v>
      </c>
      <c r="Q250" s="34"/>
      <c r="R250" s="28">
        <v>4</v>
      </c>
      <c r="S250" s="29">
        <v>0</v>
      </c>
      <c r="T250" s="29">
        <v>1</v>
      </c>
      <c r="U250" s="29">
        <f>S250+T250+VLOOKUP(N250,Ranges,2,FALSE)+VLOOKUP(O250,Durations,2,FALSE)+VLOOKUP(P250,Targets,2,FALSE)</f>
        <v>4</v>
      </c>
      <c r="V250" s="31"/>
    </row>
    <row r="251" spans="1:22" s="30" customFormat="1" ht="12.75">
      <c r="A251" s="24">
        <f>IF(OR(B251="Y",B251="M"),K251,"")</f>
      </c>
      <c r="B251" s="24" t="s">
        <v>52</v>
      </c>
      <c r="C251" s="29">
        <f>IF(G251="","--",(L251-Sta+Int)/2)</f>
        <v>1.5</v>
      </c>
      <c r="D251" s="29">
        <f>IF(AND(K251&lt;&gt;"",K251&lt;&gt;"G"),K251-C251,"--")</f>
        <v>18.5</v>
      </c>
      <c r="E251" s="29">
        <f>IF(AND(K251&lt;&gt;"",K251&lt;&gt;"G"),K251-L251,"--")</f>
        <v>19</v>
      </c>
      <c r="F251" s="28" t="s">
        <v>284</v>
      </c>
      <c r="G251" s="26" t="s">
        <v>33</v>
      </c>
      <c r="H251" s="26" t="s">
        <v>24</v>
      </c>
      <c r="I251" s="52" t="s">
        <v>54</v>
      </c>
      <c r="J251" s="52" t="s">
        <v>54</v>
      </c>
      <c r="K251" s="27">
        <f>IF(R251="G","G",IF(R251&gt;=5,R251+U251*5,IF((R251+U251)&lt;=5,(R251+U251),(5+5*(R251+U251-5)))))</f>
        <v>20</v>
      </c>
      <c r="L251" s="29">
        <f ca="1">IF(G251="","--",IF(I251="",INDIRECT(G251),MIN(INDIRECT(G251),INDIRECT(LEFT(I251,2)),INDIRECT(RIGHT(I251,2))))+IF(J251="",INDIRECT(H251),MIN(INDIRECT(H251),INDIRECT(LEFT(J251,2)),INDIRECT(RIGHT(J251,2))))+Sta+IF(M251="",0,$G$2))</f>
        <v>1</v>
      </c>
      <c r="M251" s="29"/>
      <c r="N251" s="28" t="s">
        <v>59</v>
      </c>
      <c r="O251" s="28" t="s">
        <v>94</v>
      </c>
      <c r="P251" s="28" t="s">
        <v>422</v>
      </c>
      <c r="Q251" s="34"/>
      <c r="R251" s="28">
        <v>4</v>
      </c>
      <c r="S251" s="29">
        <v>0</v>
      </c>
      <c r="T251" s="29">
        <v>0</v>
      </c>
      <c r="U251" s="29">
        <f>S251+T251+VLOOKUP(N251,Ranges,2,FALSE)+VLOOKUP(O251,Durations,2,FALSE)+VLOOKUP(P251,Targets,2,FALSE)</f>
        <v>4</v>
      </c>
      <c r="V251" s="31"/>
    </row>
    <row r="252" spans="1:22" s="30" customFormat="1" ht="12.75">
      <c r="A252" s="24">
        <f>IF(OR(B252="Y",B252="M"),K252,"")</f>
      </c>
      <c r="B252" s="24" t="s">
        <v>52</v>
      </c>
      <c r="C252" s="29">
        <f>IF(G252="","--",(L252-Sta+Int)/2)</f>
        <v>1.5</v>
      </c>
      <c r="D252" s="29">
        <f>IF(AND(K252&lt;&gt;"",K252&lt;&gt;"G"),K252-C252,"--")</f>
        <v>18.5</v>
      </c>
      <c r="E252" s="29">
        <f>IF(AND(K252&lt;&gt;"",K252&lt;&gt;"G"),K252-L252,"--")</f>
        <v>19</v>
      </c>
      <c r="F252" s="28" t="s">
        <v>288</v>
      </c>
      <c r="G252" s="26" t="s">
        <v>33</v>
      </c>
      <c r="H252" s="26" t="s">
        <v>24</v>
      </c>
      <c r="I252" s="52" t="s">
        <v>54</v>
      </c>
      <c r="J252" s="52" t="s">
        <v>54</v>
      </c>
      <c r="K252" s="27">
        <f>IF(R252="G","G",IF(R252&gt;=5,R252+U252*5,IF((R252+U252)&lt;=5,(R252+U252),(5+5*(R252+U252-5)))))</f>
        <v>20</v>
      </c>
      <c r="L252" s="29">
        <f ca="1">IF(G252="","--",IF(I252="",INDIRECT(G252),MIN(INDIRECT(G252),INDIRECT(LEFT(I252,2)),INDIRECT(RIGHT(I252,2))))+IF(J252="",INDIRECT(H252),MIN(INDIRECT(H252),INDIRECT(LEFT(J252,2)),INDIRECT(RIGHT(J252,2))))+Sta+IF(M252="",0,$G$2))</f>
        <v>1</v>
      </c>
      <c r="M252" s="29"/>
      <c r="N252" s="28" t="s">
        <v>426</v>
      </c>
      <c r="O252" s="28" t="s">
        <v>94</v>
      </c>
      <c r="P252" s="28" t="s">
        <v>55</v>
      </c>
      <c r="Q252" s="34"/>
      <c r="R252" s="28">
        <v>3</v>
      </c>
      <c r="S252" s="29">
        <v>0</v>
      </c>
      <c r="T252" s="29">
        <v>1</v>
      </c>
      <c r="U252" s="29">
        <f>S252+T252+VLOOKUP(N252,Ranges,2,FALSE)+VLOOKUP(O252,Durations,2,FALSE)+VLOOKUP(P252,Targets,2,FALSE)</f>
        <v>5</v>
      </c>
      <c r="V252" s="31"/>
    </row>
    <row r="253" spans="1:22" s="30" customFormat="1" ht="12.75">
      <c r="A253" s="24">
        <f t="shared" si="29"/>
      </c>
      <c r="B253" s="24" t="s">
        <v>52</v>
      </c>
      <c r="C253" s="29">
        <f t="shared" si="33"/>
        <v>1.5</v>
      </c>
      <c r="D253" s="29">
        <f t="shared" si="30"/>
        <v>23.5</v>
      </c>
      <c r="E253" s="29">
        <f t="shared" si="34"/>
        <v>24</v>
      </c>
      <c r="F253" s="28" t="s">
        <v>290</v>
      </c>
      <c r="G253" s="26" t="s">
        <v>33</v>
      </c>
      <c r="H253" s="26" t="s">
        <v>24</v>
      </c>
      <c r="I253" s="52" t="s">
        <v>54</v>
      </c>
      <c r="J253" s="52" t="s">
        <v>54</v>
      </c>
      <c r="K253" s="27">
        <f t="shared" si="35"/>
        <v>25</v>
      </c>
      <c r="L253" s="29">
        <f ca="1" t="shared" si="31"/>
        <v>1</v>
      </c>
      <c r="M253" s="29"/>
      <c r="N253" s="28" t="s">
        <v>59</v>
      </c>
      <c r="O253" s="28" t="s">
        <v>94</v>
      </c>
      <c r="P253" s="28" t="s">
        <v>85</v>
      </c>
      <c r="Q253" s="34"/>
      <c r="R253" s="28">
        <v>4</v>
      </c>
      <c r="S253" s="29">
        <v>0</v>
      </c>
      <c r="T253" s="29">
        <v>0</v>
      </c>
      <c r="U253" s="29">
        <f t="shared" si="32"/>
        <v>5</v>
      </c>
      <c r="V253" s="31"/>
    </row>
    <row r="254" spans="1:22" s="30" customFormat="1" ht="12.75">
      <c r="A254" s="24">
        <f>IF(OR(B254="Y",B254="M"),K254,"")</f>
      </c>
      <c r="B254" s="24" t="s">
        <v>52</v>
      </c>
      <c r="C254" s="29">
        <f>IF(G254="","--",(L254-Sta+Int)/2)</f>
        <v>1.5</v>
      </c>
      <c r="D254" s="29" t="str">
        <f>IF(AND(K254&lt;&gt;"",K254&lt;&gt;"G"),K254-C254,"--")</f>
        <v>--</v>
      </c>
      <c r="E254" s="29" t="str">
        <f>IF(AND(K254&lt;&gt;"",K254&lt;&gt;"G"),K254-L254,"--")</f>
        <v>--</v>
      </c>
      <c r="F254" s="50" t="s">
        <v>299</v>
      </c>
      <c r="G254" s="26" t="s">
        <v>35</v>
      </c>
      <c r="H254" s="26" t="s">
        <v>24</v>
      </c>
      <c r="I254" s="52" t="s">
        <v>54</v>
      </c>
      <c r="J254" s="52" t="s">
        <v>54</v>
      </c>
      <c r="K254" s="34" t="str">
        <f>IF(R254="G","G",IF(R254&gt;=5,R254+U254*5,IF((R254+U254)&lt;=5,(R254+U254),(5+5*(R254+U254-5)))))</f>
        <v>G</v>
      </c>
      <c r="L254" s="29">
        <f ca="1">IF(G254="","--",IF(I254="",INDIRECT(G254),MIN(INDIRECT(G254),INDIRECT(LEFT(I254,2)),INDIRECT(RIGHT(I254,2))))+IF(J254="",INDIRECT(H254),MIN(INDIRECT(H254),INDIRECT(LEFT(J254,2)),INDIRECT(RIGHT(J254,2))))+Sta+IF(M254="",0,$G$2))</f>
        <v>1</v>
      </c>
      <c r="M254" s="29"/>
      <c r="N254" s="28" t="s">
        <v>426</v>
      </c>
      <c r="O254" s="28" t="s">
        <v>76</v>
      </c>
      <c r="P254" s="28" t="s">
        <v>55</v>
      </c>
      <c r="Q254" s="34"/>
      <c r="R254" s="28" t="s">
        <v>63</v>
      </c>
      <c r="S254" s="29">
        <v>0</v>
      </c>
      <c r="T254" s="29">
        <v>0</v>
      </c>
      <c r="U254" s="29">
        <f>S254+T254+VLOOKUP(N254,Ranges,2,FALSE)+VLOOKUP(O254,Durations,2,FALSE)+VLOOKUP(P254,Targets,2,FALSE)</f>
        <v>2</v>
      </c>
      <c r="V254" s="31"/>
    </row>
    <row r="255" spans="1:22" s="30" customFormat="1" ht="12.75">
      <c r="A255" s="24">
        <f t="shared" si="29"/>
      </c>
      <c r="B255" s="24" t="s">
        <v>52</v>
      </c>
      <c r="C255" s="29">
        <f t="shared" si="33"/>
        <v>1.5</v>
      </c>
      <c r="D255" s="29">
        <f t="shared" si="30"/>
        <v>8.5</v>
      </c>
      <c r="E255" s="29">
        <f t="shared" si="34"/>
        <v>9</v>
      </c>
      <c r="F255" s="28" t="s">
        <v>292</v>
      </c>
      <c r="G255" s="26" t="s">
        <v>35</v>
      </c>
      <c r="H255" s="26" t="s">
        <v>24</v>
      </c>
      <c r="I255" s="52" t="s">
        <v>54</v>
      </c>
      <c r="J255" s="52" t="s">
        <v>54</v>
      </c>
      <c r="K255" s="27">
        <f t="shared" si="35"/>
        <v>10</v>
      </c>
      <c r="L255" s="29">
        <f ca="1" t="shared" si="31"/>
        <v>1</v>
      </c>
      <c r="M255" s="29"/>
      <c r="N255" s="28" t="s">
        <v>426</v>
      </c>
      <c r="O255" s="28" t="s">
        <v>94</v>
      </c>
      <c r="P255" s="28" t="s">
        <v>55</v>
      </c>
      <c r="Q255" s="34"/>
      <c r="R255" s="28">
        <v>2</v>
      </c>
      <c r="S255" s="29">
        <v>0</v>
      </c>
      <c r="T255" s="29">
        <v>0</v>
      </c>
      <c r="U255" s="29">
        <f t="shared" si="32"/>
        <v>4</v>
      </c>
      <c r="V255" s="31"/>
    </row>
    <row r="256" spans="1:22" s="30" customFormat="1" ht="12.75">
      <c r="A256" s="24">
        <f t="shared" si="29"/>
      </c>
      <c r="B256" s="24" t="s">
        <v>52</v>
      </c>
      <c r="C256" s="29">
        <f t="shared" si="33"/>
        <v>1.5</v>
      </c>
      <c r="D256" s="29">
        <f t="shared" si="30"/>
        <v>8.5</v>
      </c>
      <c r="E256" s="29">
        <f t="shared" si="34"/>
        <v>9</v>
      </c>
      <c r="F256" s="28" t="s">
        <v>293</v>
      </c>
      <c r="G256" s="26" t="s">
        <v>35</v>
      </c>
      <c r="H256" s="26" t="s">
        <v>24</v>
      </c>
      <c r="I256" s="52" t="s">
        <v>54</v>
      </c>
      <c r="J256" s="52" t="s">
        <v>54</v>
      </c>
      <c r="K256" s="27">
        <f t="shared" si="35"/>
        <v>10</v>
      </c>
      <c r="L256" s="29">
        <f ca="1" t="shared" si="31"/>
        <v>1</v>
      </c>
      <c r="M256" s="29"/>
      <c r="N256" s="28" t="s">
        <v>93</v>
      </c>
      <c r="O256" s="28" t="s">
        <v>94</v>
      </c>
      <c r="P256" s="28" t="s">
        <v>55</v>
      </c>
      <c r="Q256" s="34"/>
      <c r="R256" s="28">
        <v>2</v>
      </c>
      <c r="S256" s="29">
        <v>0</v>
      </c>
      <c r="T256" s="29">
        <v>2</v>
      </c>
      <c r="U256" s="29">
        <f t="shared" si="32"/>
        <v>4</v>
      </c>
      <c r="V256" s="94" t="s">
        <v>564</v>
      </c>
    </row>
    <row r="257" spans="1:22" s="30" customFormat="1" ht="12.75">
      <c r="A257" s="24">
        <f t="shared" si="29"/>
      </c>
      <c r="B257" s="24" t="s">
        <v>52</v>
      </c>
      <c r="C257" s="29">
        <f t="shared" si="33"/>
        <v>1.5</v>
      </c>
      <c r="D257" s="29">
        <f t="shared" si="30"/>
        <v>23.5</v>
      </c>
      <c r="E257" s="29">
        <f t="shared" si="34"/>
        <v>24</v>
      </c>
      <c r="F257" s="28" t="s">
        <v>294</v>
      </c>
      <c r="G257" s="26" t="s">
        <v>35</v>
      </c>
      <c r="H257" s="26" t="s">
        <v>24</v>
      </c>
      <c r="I257" s="52" t="s">
        <v>54</v>
      </c>
      <c r="J257" s="52" t="s">
        <v>54</v>
      </c>
      <c r="K257" s="27">
        <f t="shared" si="35"/>
        <v>25</v>
      </c>
      <c r="L257" s="29">
        <f ca="1" t="shared" si="31"/>
        <v>1</v>
      </c>
      <c r="M257" s="29"/>
      <c r="N257" s="28" t="s">
        <v>426</v>
      </c>
      <c r="O257" s="28" t="s">
        <v>94</v>
      </c>
      <c r="P257" s="28" t="s">
        <v>422</v>
      </c>
      <c r="Q257" s="34"/>
      <c r="R257" s="28">
        <v>4</v>
      </c>
      <c r="S257" s="29">
        <v>0</v>
      </c>
      <c r="T257" s="29">
        <v>0</v>
      </c>
      <c r="U257" s="29">
        <f t="shared" si="32"/>
        <v>5</v>
      </c>
      <c r="V257" s="31"/>
    </row>
    <row r="258" spans="1:22" s="30" customFormat="1" ht="12.75">
      <c r="A258" s="24">
        <f t="shared" si="29"/>
      </c>
      <c r="B258" s="24" t="s">
        <v>52</v>
      </c>
      <c r="C258" s="29">
        <f t="shared" si="33"/>
        <v>1.5</v>
      </c>
      <c r="D258" s="29">
        <f t="shared" si="30"/>
        <v>28.5</v>
      </c>
      <c r="E258" s="29">
        <f t="shared" si="34"/>
        <v>29</v>
      </c>
      <c r="F258" s="28" t="s">
        <v>295</v>
      </c>
      <c r="G258" s="26" t="s">
        <v>35</v>
      </c>
      <c r="H258" s="26" t="s">
        <v>24</v>
      </c>
      <c r="I258" s="52" t="s">
        <v>54</v>
      </c>
      <c r="J258" s="52" t="s">
        <v>54</v>
      </c>
      <c r="K258" s="27">
        <f t="shared" si="35"/>
        <v>30</v>
      </c>
      <c r="L258" s="29">
        <f ca="1" t="shared" si="31"/>
        <v>1</v>
      </c>
      <c r="M258" s="29"/>
      <c r="N258" s="28" t="s">
        <v>59</v>
      </c>
      <c r="O258" s="28" t="s">
        <v>66</v>
      </c>
      <c r="P258" s="28" t="s">
        <v>431</v>
      </c>
      <c r="Q258" s="34"/>
      <c r="R258" s="28">
        <v>3</v>
      </c>
      <c r="S258" s="29">
        <v>0</v>
      </c>
      <c r="T258" s="29">
        <v>1</v>
      </c>
      <c r="U258" s="29">
        <f t="shared" si="32"/>
        <v>7</v>
      </c>
      <c r="V258" s="94" t="s">
        <v>565</v>
      </c>
    </row>
    <row r="259" spans="1:22" s="30" customFormat="1" ht="12.75">
      <c r="A259" s="24">
        <f t="shared" si="29"/>
      </c>
      <c r="B259" s="24" t="s">
        <v>52</v>
      </c>
      <c r="C259" s="29">
        <f t="shared" si="33"/>
        <v>1.5</v>
      </c>
      <c r="D259" s="29">
        <f t="shared" si="30"/>
        <v>28.5</v>
      </c>
      <c r="E259" s="29">
        <f t="shared" si="34"/>
        <v>29</v>
      </c>
      <c r="F259" s="28" t="s">
        <v>297</v>
      </c>
      <c r="G259" s="26" t="s">
        <v>35</v>
      </c>
      <c r="H259" s="26" t="s">
        <v>24</v>
      </c>
      <c r="I259" s="52" t="s">
        <v>30</v>
      </c>
      <c r="J259" s="52" t="s">
        <v>54</v>
      </c>
      <c r="K259" s="27">
        <f t="shared" si="35"/>
        <v>30</v>
      </c>
      <c r="L259" s="29">
        <f ca="1" t="shared" si="31"/>
        <v>1</v>
      </c>
      <c r="M259" s="29"/>
      <c r="N259" s="28" t="s">
        <v>93</v>
      </c>
      <c r="O259" s="28" t="s">
        <v>66</v>
      </c>
      <c r="P259" s="28" t="s">
        <v>55</v>
      </c>
      <c r="Q259" s="34"/>
      <c r="R259" s="28">
        <v>15</v>
      </c>
      <c r="S259" s="29">
        <v>0</v>
      </c>
      <c r="T259" s="29">
        <v>2</v>
      </c>
      <c r="U259" s="29">
        <f t="shared" si="32"/>
        <v>3</v>
      </c>
      <c r="V259" s="31"/>
    </row>
    <row r="260" spans="1:22" s="30" customFormat="1" ht="12.75">
      <c r="A260" s="24">
        <f t="shared" si="29"/>
      </c>
      <c r="B260" s="24" t="s">
        <v>52</v>
      </c>
      <c r="C260" s="29">
        <f t="shared" si="33"/>
        <v>1.5</v>
      </c>
      <c r="D260" s="29">
        <f t="shared" si="30"/>
        <v>48.5</v>
      </c>
      <c r="E260" s="29">
        <f t="shared" si="34"/>
        <v>49</v>
      </c>
      <c r="F260" s="28" t="s">
        <v>298</v>
      </c>
      <c r="G260" s="26" t="s">
        <v>35</v>
      </c>
      <c r="H260" s="26" t="s">
        <v>24</v>
      </c>
      <c r="I260" s="52" t="s">
        <v>54</v>
      </c>
      <c r="J260" s="52" t="s">
        <v>54</v>
      </c>
      <c r="K260" s="27">
        <f t="shared" si="35"/>
        <v>50</v>
      </c>
      <c r="L260" s="29">
        <f ca="1" t="shared" si="31"/>
        <v>1</v>
      </c>
      <c r="M260" s="29"/>
      <c r="N260" s="28" t="s">
        <v>426</v>
      </c>
      <c r="O260" s="28" t="s">
        <v>94</v>
      </c>
      <c r="P260" s="28" t="s">
        <v>61</v>
      </c>
      <c r="Q260" s="34" t="s">
        <v>62</v>
      </c>
      <c r="R260" s="28">
        <v>10</v>
      </c>
      <c r="S260" s="29">
        <v>0</v>
      </c>
      <c r="T260" s="29">
        <v>0</v>
      </c>
      <c r="U260" s="29">
        <f t="shared" si="32"/>
        <v>8</v>
      </c>
      <c r="V260" s="31"/>
    </row>
    <row r="261" spans="1:22" s="30" customFormat="1" ht="12.75">
      <c r="A261" s="24">
        <f t="shared" si="29"/>
      </c>
      <c r="B261" s="24" t="s">
        <v>52</v>
      </c>
      <c r="C261" s="29">
        <f t="shared" si="33"/>
        <v>1.5</v>
      </c>
      <c r="D261" s="29">
        <f t="shared" si="30"/>
        <v>8.5</v>
      </c>
      <c r="E261" s="29">
        <f t="shared" si="34"/>
        <v>9</v>
      </c>
      <c r="F261" s="28" t="s">
        <v>300</v>
      </c>
      <c r="G261" s="26" t="s">
        <v>29</v>
      </c>
      <c r="H261" s="26" t="s">
        <v>25</v>
      </c>
      <c r="I261" s="52" t="s">
        <v>54</v>
      </c>
      <c r="J261" s="52" t="s">
        <v>54</v>
      </c>
      <c r="K261" s="27">
        <f t="shared" si="35"/>
        <v>10</v>
      </c>
      <c r="L261" s="29">
        <f ca="1" t="shared" si="31"/>
        <v>1</v>
      </c>
      <c r="M261" s="29"/>
      <c r="N261" s="28" t="s">
        <v>118</v>
      </c>
      <c r="O261" s="28" t="s">
        <v>76</v>
      </c>
      <c r="P261" s="28" t="s">
        <v>55</v>
      </c>
      <c r="Q261" s="34"/>
      <c r="R261" s="28">
        <v>3</v>
      </c>
      <c r="S261" s="29">
        <v>0</v>
      </c>
      <c r="T261" s="29">
        <v>0</v>
      </c>
      <c r="U261" s="29">
        <f t="shared" si="32"/>
        <v>3</v>
      </c>
      <c r="V261" s="31" t="s">
        <v>566</v>
      </c>
    </row>
    <row r="262" spans="1:22" s="30" customFormat="1" ht="12.75">
      <c r="A262" s="24">
        <f t="shared" si="29"/>
      </c>
      <c r="B262" s="24" t="s">
        <v>52</v>
      </c>
      <c r="C262" s="29">
        <f t="shared" si="33"/>
        <v>1.5</v>
      </c>
      <c r="D262" s="29">
        <f t="shared" si="30"/>
        <v>13.5</v>
      </c>
      <c r="E262" s="29">
        <f t="shared" si="34"/>
        <v>14</v>
      </c>
      <c r="F262" s="28" t="s">
        <v>301</v>
      </c>
      <c r="G262" s="26" t="s">
        <v>29</v>
      </c>
      <c r="H262" s="26" t="s">
        <v>25</v>
      </c>
      <c r="I262" s="52" t="s">
        <v>54</v>
      </c>
      <c r="J262" s="52" t="s">
        <v>54</v>
      </c>
      <c r="K262" s="27">
        <f t="shared" si="35"/>
        <v>15</v>
      </c>
      <c r="L262" s="29">
        <f ca="1" t="shared" si="31"/>
        <v>1</v>
      </c>
      <c r="M262" s="29"/>
      <c r="N262" s="28" t="s">
        <v>420</v>
      </c>
      <c r="O262" s="28" t="s">
        <v>94</v>
      </c>
      <c r="P262" s="28" t="s">
        <v>55</v>
      </c>
      <c r="Q262" s="34"/>
      <c r="R262" s="28">
        <v>4</v>
      </c>
      <c r="S262" s="29">
        <v>0</v>
      </c>
      <c r="T262" s="29">
        <v>0</v>
      </c>
      <c r="U262" s="29">
        <f t="shared" si="32"/>
        <v>3</v>
      </c>
      <c r="V262" s="31"/>
    </row>
    <row r="263" spans="1:22" s="30" customFormat="1" ht="12.75">
      <c r="A263" s="24">
        <f t="shared" si="29"/>
      </c>
      <c r="B263" s="24" t="s">
        <v>52</v>
      </c>
      <c r="C263" s="29">
        <f t="shared" si="33"/>
        <v>1.5</v>
      </c>
      <c r="D263" s="29">
        <f t="shared" si="30"/>
        <v>13.5</v>
      </c>
      <c r="E263" s="29">
        <f t="shared" si="34"/>
        <v>14</v>
      </c>
      <c r="F263" s="28" t="s">
        <v>302</v>
      </c>
      <c r="G263" s="26" t="s">
        <v>29</v>
      </c>
      <c r="H263" s="26" t="s">
        <v>25</v>
      </c>
      <c r="I263" s="52" t="s">
        <v>54</v>
      </c>
      <c r="J263" s="52" t="s">
        <v>54</v>
      </c>
      <c r="K263" s="27">
        <f t="shared" si="35"/>
        <v>15</v>
      </c>
      <c r="L263" s="29">
        <f ca="1" t="shared" si="31"/>
        <v>1</v>
      </c>
      <c r="M263" s="29"/>
      <c r="N263" s="28" t="s">
        <v>420</v>
      </c>
      <c r="O263" s="28" t="s">
        <v>94</v>
      </c>
      <c r="P263" s="28" t="s">
        <v>55</v>
      </c>
      <c r="Q263" s="34"/>
      <c r="R263" s="28">
        <v>4</v>
      </c>
      <c r="S263" s="29">
        <v>0</v>
      </c>
      <c r="T263" s="29">
        <v>0</v>
      </c>
      <c r="U263" s="29">
        <f t="shared" si="32"/>
        <v>3</v>
      </c>
      <c r="V263" s="31" t="s">
        <v>567</v>
      </c>
    </row>
    <row r="264" spans="1:22" s="30" customFormat="1" ht="12.75">
      <c r="A264" s="24">
        <f t="shared" si="29"/>
      </c>
      <c r="B264" s="24" t="s">
        <v>52</v>
      </c>
      <c r="C264" s="29">
        <f t="shared" si="33"/>
        <v>1.5</v>
      </c>
      <c r="D264" s="29">
        <f t="shared" si="30"/>
        <v>18.5</v>
      </c>
      <c r="E264" s="29">
        <f t="shared" si="34"/>
        <v>19</v>
      </c>
      <c r="F264" s="28" t="s">
        <v>303</v>
      </c>
      <c r="G264" s="26" t="s">
        <v>29</v>
      </c>
      <c r="H264" s="26" t="s">
        <v>25</v>
      </c>
      <c r="I264" s="52" t="s">
        <v>54</v>
      </c>
      <c r="J264" s="52" t="s">
        <v>54</v>
      </c>
      <c r="K264" s="27">
        <f t="shared" si="35"/>
        <v>20</v>
      </c>
      <c r="L264" s="29">
        <f ca="1" t="shared" si="31"/>
        <v>1</v>
      </c>
      <c r="M264" s="29"/>
      <c r="N264" s="28" t="s">
        <v>420</v>
      </c>
      <c r="O264" s="28" t="s">
        <v>94</v>
      </c>
      <c r="P264" s="28" t="s">
        <v>55</v>
      </c>
      <c r="Q264" s="34"/>
      <c r="R264" s="28">
        <v>5</v>
      </c>
      <c r="S264" s="29">
        <v>0</v>
      </c>
      <c r="T264" s="29">
        <v>0</v>
      </c>
      <c r="U264" s="29">
        <f t="shared" si="32"/>
        <v>3</v>
      </c>
      <c r="V264" s="31" t="s">
        <v>568</v>
      </c>
    </row>
    <row r="265" spans="1:22" s="30" customFormat="1" ht="12.75">
      <c r="A265" s="24">
        <f t="shared" si="29"/>
      </c>
      <c r="B265" s="24" t="s">
        <v>52</v>
      </c>
      <c r="C265" s="29">
        <f t="shared" si="33"/>
        <v>1.5</v>
      </c>
      <c r="D265" s="29">
        <f t="shared" si="30"/>
        <v>18.5</v>
      </c>
      <c r="E265" s="29">
        <f t="shared" si="34"/>
        <v>19</v>
      </c>
      <c r="F265" s="28" t="s">
        <v>304</v>
      </c>
      <c r="G265" s="26" t="s">
        <v>29</v>
      </c>
      <c r="H265" s="26" t="s">
        <v>25</v>
      </c>
      <c r="I265" s="52" t="s">
        <v>54</v>
      </c>
      <c r="J265" s="52" t="s">
        <v>54</v>
      </c>
      <c r="K265" s="27">
        <f t="shared" si="35"/>
        <v>20</v>
      </c>
      <c r="L265" s="29">
        <f ca="1" t="shared" si="31"/>
        <v>1</v>
      </c>
      <c r="M265" s="29"/>
      <c r="N265" s="28" t="s">
        <v>420</v>
      </c>
      <c r="O265" s="28" t="s">
        <v>60</v>
      </c>
      <c r="P265" s="28" t="s">
        <v>55</v>
      </c>
      <c r="Q265" s="34"/>
      <c r="R265" s="28">
        <v>4</v>
      </c>
      <c r="S265" s="29">
        <v>0</v>
      </c>
      <c r="T265" s="29">
        <v>0</v>
      </c>
      <c r="U265" s="29">
        <f t="shared" si="32"/>
        <v>4</v>
      </c>
      <c r="V265" s="31"/>
    </row>
    <row r="266" spans="1:22" s="30" customFormat="1" ht="12.75">
      <c r="A266" s="24">
        <f>IF(OR(B266="Y",B266="M"),K266,"")</f>
      </c>
      <c r="B266" s="24" t="s">
        <v>52</v>
      </c>
      <c r="C266" s="29">
        <f>IF(G266="","--",(L266-Sta+Int)/2)</f>
        <v>1.5</v>
      </c>
      <c r="D266" s="29">
        <f>IF(AND(K266&lt;&gt;"",K266&lt;&gt;"G"),K266-C266,"--")</f>
        <v>23.5</v>
      </c>
      <c r="E266" s="29">
        <f>IF(AND(K266&lt;&gt;"",K266&lt;&gt;"G"),K266-L266,"--")</f>
        <v>24</v>
      </c>
      <c r="F266" s="28" t="s">
        <v>306</v>
      </c>
      <c r="G266" s="26" t="s">
        <v>29</v>
      </c>
      <c r="H266" s="26" t="s">
        <v>25</v>
      </c>
      <c r="I266" s="52" t="s">
        <v>54</v>
      </c>
      <c r="J266" s="52" t="s">
        <v>54</v>
      </c>
      <c r="K266" s="27">
        <f>IF(R266="G","G",IF(R266&gt;=5,R266+U266*5,IF((R266+U266)&lt;=5,(R266+U266),(5+5*(R266+U266-5)))))</f>
        <v>25</v>
      </c>
      <c r="L266" s="29">
        <f ca="1">IF(G266="","--",IF(I266="",INDIRECT(G266),MIN(INDIRECT(G266),INDIRECT(LEFT(I266,2)),INDIRECT(RIGHT(I266,2))))+IF(J266="",INDIRECT(H266),MIN(INDIRECT(H266),INDIRECT(LEFT(J266,2)),INDIRECT(RIGHT(J266,2))))+Sta+IF(M266="",0,$G$2))</f>
        <v>1</v>
      </c>
      <c r="M266" s="29"/>
      <c r="N266" s="28" t="s">
        <v>420</v>
      </c>
      <c r="O266" s="28" t="s">
        <v>60</v>
      </c>
      <c r="P266" s="28" t="s">
        <v>55</v>
      </c>
      <c r="Q266" s="34"/>
      <c r="R266" s="28">
        <v>4</v>
      </c>
      <c r="S266" s="29">
        <v>0</v>
      </c>
      <c r="T266" s="29">
        <v>1</v>
      </c>
      <c r="U266" s="29">
        <f>S266+T266+VLOOKUP(N266,Ranges,2,FALSE)+VLOOKUP(O266,Durations,2,FALSE)+VLOOKUP(P266,Targets,2,FALSE)</f>
        <v>5</v>
      </c>
      <c r="V266" s="94" t="s">
        <v>569</v>
      </c>
    </row>
    <row r="267" spans="1:22" s="30" customFormat="1" ht="12.75">
      <c r="A267" s="24">
        <f t="shared" si="29"/>
      </c>
      <c r="B267" s="24" t="s">
        <v>52</v>
      </c>
      <c r="C267" s="29">
        <f t="shared" si="33"/>
        <v>1.5</v>
      </c>
      <c r="D267" s="29">
        <f t="shared" si="30"/>
        <v>33.5</v>
      </c>
      <c r="E267" s="29">
        <f t="shared" si="34"/>
        <v>34</v>
      </c>
      <c r="F267" s="28" t="s">
        <v>305</v>
      </c>
      <c r="G267" s="26" t="s">
        <v>29</v>
      </c>
      <c r="H267" s="26" t="s">
        <v>25</v>
      </c>
      <c r="I267" s="52" t="s">
        <v>54</v>
      </c>
      <c r="J267" s="52" t="s">
        <v>54</v>
      </c>
      <c r="K267" s="27">
        <f t="shared" si="35"/>
        <v>35</v>
      </c>
      <c r="L267" s="29">
        <f ca="1" t="shared" si="31"/>
        <v>1</v>
      </c>
      <c r="M267" s="29"/>
      <c r="N267" s="28" t="s">
        <v>59</v>
      </c>
      <c r="O267" s="28" t="s">
        <v>76</v>
      </c>
      <c r="P267" s="28" t="s">
        <v>55</v>
      </c>
      <c r="Q267" s="34" t="s">
        <v>62</v>
      </c>
      <c r="R267" s="28">
        <v>30</v>
      </c>
      <c r="S267" s="29">
        <v>0</v>
      </c>
      <c r="T267" s="29">
        <v>0</v>
      </c>
      <c r="U267" s="29">
        <f t="shared" si="32"/>
        <v>1</v>
      </c>
      <c r="V267" s="94" t="s">
        <v>570</v>
      </c>
    </row>
    <row r="268" spans="1:22" s="30" customFormat="1" ht="12.75">
      <c r="A268" s="24">
        <f aca="true" t="shared" si="36" ref="A268:A327">IF(OR(B268="Y",B268="M"),K268,"")</f>
      </c>
      <c r="B268" s="24" t="s">
        <v>52</v>
      </c>
      <c r="C268" s="29">
        <f aca="true" t="shared" si="37" ref="C268:C328">IF(G268="","--",(L268-Sta+Int)/2)</f>
        <v>1.5</v>
      </c>
      <c r="D268" s="29">
        <f aca="true" t="shared" si="38" ref="D268:D327">IF(AND(K268&lt;&gt;"",K268&lt;&gt;"G"),K268-C268,"--")</f>
        <v>8.5</v>
      </c>
      <c r="E268" s="29">
        <f aca="true" t="shared" si="39" ref="E268:E330">IF(AND(K268&lt;&gt;"",K268&lt;&gt;"G"),K268-L268,"--")</f>
        <v>9</v>
      </c>
      <c r="F268" s="28" t="s">
        <v>307</v>
      </c>
      <c r="G268" s="26" t="s">
        <v>30</v>
      </c>
      <c r="H268" s="26" t="s">
        <v>25</v>
      </c>
      <c r="I268" s="52" t="s">
        <v>54</v>
      </c>
      <c r="J268" s="52" t="s">
        <v>54</v>
      </c>
      <c r="K268" s="27">
        <f t="shared" si="35"/>
        <v>10</v>
      </c>
      <c r="L268" s="29">
        <f aca="true" ca="1" t="shared" si="40" ref="L268:L327">IF(G268="","--",IF(I268="",INDIRECT(G268),MIN(INDIRECT(G268),INDIRECT(LEFT(I268,2)),INDIRECT(RIGHT(I268,2))))+IF(J268="",INDIRECT(H268),MIN(INDIRECT(H268),INDIRECT(LEFT(J268,2)),INDIRECT(RIGHT(J268,2))))+Sta+IF(M268="",0,$G$2))</f>
        <v>1</v>
      </c>
      <c r="M268" s="29"/>
      <c r="N268" s="28" t="s">
        <v>420</v>
      </c>
      <c r="O268" s="28" t="s">
        <v>76</v>
      </c>
      <c r="P268" s="28" t="s">
        <v>55</v>
      </c>
      <c r="Q268" s="34"/>
      <c r="R268" s="28">
        <v>5</v>
      </c>
      <c r="S268" s="29">
        <v>0</v>
      </c>
      <c r="T268" s="29">
        <v>0</v>
      </c>
      <c r="U268" s="29">
        <f aca="true" t="shared" si="41" ref="U268:U327">S268+T268+VLOOKUP(N268,Ranges,2,FALSE)+VLOOKUP(O268,Durations,2,FALSE)+VLOOKUP(P268,Targets,2,FALSE)</f>
        <v>1</v>
      </c>
      <c r="V268" s="31"/>
    </row>
    <row r="269" spans="1:22" s="30" customFormat="1" ht="12.75">
      <c r="A269" s="24">
        <f t="shared" si="36"/>
      </c>
      <c r="B269" s="24" t="s">
        <v>52</v>
      </c>
      <c r="C269" s="29">
        <f t="shared" si="37"/>
        <v>1.5</v>
      </c>
      <c r="D269" s="29">
        <f t="shared" si="38"/>
        <v>13.5</v>
      </c>
      <c r="E269" s="29">
        <f t="shared" si="39"/>
        <v>14</v>
      </c>
      <c r="F269" s="28" t="s">
        <v>308</v>
      </c>
      <c r="G269" s="26" t="s">
        <v>30</v>
      </c>
      <c r="H269" s="26" t="s">
        <v>25</v>
      </c>
      <c r="I269" s="52" t="s">
        <v>54</v>
      </c>
      <c r="J269" s="52" t="s">
        <v>54</v>
      </c>
      <c r="K269" s="27">
        <f t="shared" si="35"/>
        <v>15</v>
      </c>
      <c r="L269" s="29">
        <f ca="1" t="shared" si="40"/>
        <v>1</v>
      </c>
      <c r="M269" s="29"/>
      <c r="N269" s="28" t="s">
        <v>420</v>
      </c>
      <c r="O269" s="28" t="s">
        <v>76</v>
      </c>
      <c r="P269" s="28" t="s">
        <v>55</v>
      </c>
      <c r="Q269" s="34"/>
      <c r="R269" s="28">
        <v>10</v>
      </c>
      <c r="S269" s="29">
        <v>0</v>
      </c>
      <c r="T269" s="29">
        <v>0</v>
      </c>
      <c r="U269" s="29">
        <f t="shared" si="41"/>
        <v>1</v>
      </c>
      <c r="V269" s="31"/>
    </row>
    <row r="270" spans="1:22" s="30" customFormat="1" ht="12.75">
      <c r="A270" s="24">
        <f t="shared" si="36"/>
      </c>
      <c r="B270" s="24" t="s">
        <v>52</v>
      </c>
      <c r="C270" s="29">
        <f t="shared" si="37"/>
        <v>1.5</v>
      </c>
      <c r="D270" s="29">
        <f t="shared" si="38"/>
        <v>18.5</v>
      </c>
      <c r="E270" s="29">
        <f t="shared" si="39"/>
        <v>19</v>
      </c>
      <c r="F270" s="28" t="s">
        <v>309</v>
      </c>
      <c r="G270" s="26" t="s">
        <v>30</v>
      </c>
      <c r="H270" s="26" t="s">
        <v>25</v>
      </c>
      <c r="I270" s="52" t="s">
        <v>54</v>
      </c>
      <c r="J270" s="52"/>
      <c r="K270" s="27">
        <f t="shared" si="35"/>
        <v>20</v>
      </c>
      <c r="L270" s="29">
        <f ca="1" t="shared" si="40"/>
        <v>1</v>
      </c>
      <c r="M270" s="29"/>
      <c r="N270" s="28" t="s">
        <v>420</v>
      </c>
      <c r="O270" s="28" t="s">
        <v>66</v>
      </c>
      <c r="P270" s="28" t="s">
        <v>55</v>
      </c>
      <c r="Q270" s="34"/>
      <c r="R270" s="28">
        <v>10</v>
      </c>
      <c r="S270" s="29">
        <v>0</v>
      </c>
      <c r="T270" s="29">
        <v>0</v>
      </c>
      <c r="U270" s="29">
        <f t="shared" si="41"/>
        <v>2</v>
      </c>
      <c r="V270" s="31" t="s">
        <v>571</v>
      </c>
    </row>
    <row r="271" spans="1:22" s="30" customFormat="1" ht="12.75">
      <c r="A271" s="24">
        <f t="shared" si="36"/>
      </c>
      <c r="B271" s="24" t="s">
        <v>52</v>
      </c>
      <c r="C271" s="29">
        <f t="shared" si="37"/>
        <v>1.5</v>
      </c>
      <c r="D271" s="29">
        <f t="shared" si="38"/>
        <v>18.5</v>
      </c>
      <c r="E271" s="29">
        <f t="shared" si="39"/>
        <v>19</v>
      </c>
      <c r="F271" s="28" t="s">
        <v>310</v>
      </c>
      <c r="G271" s="26" t="s">
        <v>30</v>
      </c>
      <c r="H271" s="26" t="s">
        <v>25</v>
      </c>
      <c r="I271" s="52" t="s">
        <v>54</v>
      </c>
      <c r="J271" s="52" t="s">
        <v>54</v>
      </c>
      <c r="K271" s="27">
        <f t="shared" si="35"/>
        <v>20</v>
      </c>
      <c r="L271" s="29">
        <f ca="1" t="shared" si="40"/>
        <v>1</v>
      </c>
      <c r="M271" s="29"/>
      <c r="N271" s="28" t="s">
        <v>420</v>
      </c>
      <c r="O271" s="28" t="s">
        <v>76</v>
      </c>
      <c r="P271" s="28" t="s">
        <v>55</v>
      </c>
      <c r="Q271" s="34"/>
      <c r="R271" s="28">
        <v>15</v>
      </c>
      <c r="S271" s="29">
        <v>0</v>
      </c>
      <c r="T271" s="29">
        <v>0</v>
      </c>
      <c r="U271" s="29">
        <f t="shared" si="41"/>
        <v>1</v>
      </c>
      <c r="V271" s="31"/>
    </row>
    <row r="272" spans="1:22" s="30" customFormat="1" ht="12.75">
      <c r="A272" s="24">
        <f t="shared" si="36"/>
      </c>
      <c r="B272" s="24" t="s">
        <v>52</v>
      </c>
      <c r="C272" s="29">
        <f t="shared" si="37"/>
        <v>1.5</v>
      </c>
      <c r="D272" s="29">
        <f t="shared" si="38"/>
        <v>23.5</v>
      </c>
      <c r="E272" s="29">
        <f t="shared" si="39"/>
        <v>24</v>
      </c>
      <c r="F272" s="28" t="s">
        <v>311</v>
      </c>
      <c r="G272" s="26" t="s">
        <v>30</v>
      </c>
      <c r="H272" s="26" t="s">
        <v>25</v>
      </c>
      <c r="I272" s="52" t="s">
        <v>54</v>
      </c>
      <c r="J272" s="52" t="s">
        <v>54</v>
      </c>
      <c r="K272" s="27">
        <f t="shared" si="35"/>
        <v>25</v>
      </c>
      <c r="L272" s="29">
        <f ca="1" t="shared" si="40"/>
        <v>1</v>
      </c>
      <c r="M272" s="29"/>
      <c r="N272" s="28" t="s">
        <v>93</v>
      </c>
      <c r="O272" s="28" t="s">
        <v>66</v>
      </c>
      <c r="P272" s="28" t="s">
        <v>432</v>
      </c>
      <c r="Q272" s="34"/>
      <c r="R272" s="28">
        <v>5</v>
      </c>
      <c r="S272" s="29">
        <v>0</v>
      </c>
      <c r="T272" s="29">
        <v>0</v>
      </c>
      <c r="U272" s="29">
        <f t="shared" si="41"/>
        <v>4</v>
      </c>
      <c r="V272" s="31"/>
    </row>
    <row r="273" spans="1:22" s="30" customFormat="1" ht="12.75">
      <c r="A273" s="24">
        <f t="shared" si="36"/>
      </c>
      <c r="B273" s="24" t="s">
        <v>52</v>
      </c>
      <c r="C273" s="29">
        <f t="shared" si="37"/>
        <v>1.5</v>
      </c>
      <c r="D273" s="29">
        <f t="shared" si="38"/>
        <v>28.5</v>
      </c>
      <c r="E273" s="29">
        <f t="shared" si="39"/>
        <v>29</v>
      </c>
      <c r="F273" s="28" t="s">
        <v>312</v>
      </c>
      <c r="G273" s="26" t="s">
        <v>30</v>
      </c>
      <c r="H273" s="26" t="s">
        <v>25</v>
      </c>
      <c r="I273" s="52" t="s">
        <v>54</v>
      </c>
      <c r="J273" s="52" t="s">
        <v>54</v>
      </c>
      <c r="K273" s="27">
        <f t="shared" si="35"/>
        <v>30</v>
      </c>
      <c r="L273" s="29">
        <f ca="1" t="shared" si="40"/>
        <v>1</v>
      </c>
      <c r="M273" s="29"/>
      <c r="N273" s="28" t="s">
        <v>420</v>
      </c>
      <c r="O273" s="28" t="s">
        <v>76</v>
      </c>
      <c r="P273" s="28" t="s">
        <v>55</v>
      </c>
      <c r="Q273" s="34"/>
      <c r="R273" s="28">
        <v>25</v>
      </c>
      <c r="S273" s="29">
        <v>0</v>
      </c>
      <c r="T273" s="29">
        <v>0</v>
      </c>
      <c r="U273" s="29">
        <f t="shared" si="41"/>
        <v>1</v>
      </c>
      <c r="V273" s="31"/>
    </row>
    <row r="274" spans="1:22" s="30" customFormat="1" ht="12.75">
      <c r="A274" s="24">
        <f>IF(OR(B274="Y",B274="M"),K274,"")</f>
      </c>
      <c r="B274" s="24" t="s">
        <v>52</v>
      </c>
      <c r="C274" s="29">
        <f>IF(G274="","--",(L274-Sta+Int)/2)</f>
        <v>1.5</v>
      </c>
      <c r="D274" s="29">
        <f>IF(AND(K274&lt;&gt;"",K274&lt;&gt;"G"),K274-C274,"--")</f>
        <v>2.5</v>
      </c>
      <c r="E274" s="29">
        <f>IF(AND(K274&lt;&gt;"",K274&lt;&gt;"G"),K274-L274,"--")</f>
        <v>3</v>
      </c>
      <c r="F274" s="28" t="s">
        <v>314</v>
      </c>
      <c r="G274" s="47" t="s">
        <v>32</v>
      </c>
      <c r="H274" s="47" t="s">
        <v>25</v>
      </c>
      <c r="I274" s="53" t="s">
        <v>54</v>
      </c>
      <c r="J274" s="53" t="s">
        <v>54</v>
      </c>
      <c r="K274" s="27">
        <f>IF(R274="G","G",IF(R274&gt;=5,R274+U274*5,IF((R274+U274)&lt;=5,(R274+U274),(5+5*(R274+U274-5)))))</f>
        <v>4</v>
      </c>
      <c r="L274" s="29">
        <f ca="1">IF(G274="","--",IF(I274="",INDIRECT(G274),MIN(INDIRECT(G274),INDIRECT(LEFT(I274,2)),INDIRECT(RIGHT(I274,2))))+IF(J274="",INDIRECT(H274),MIN(INDIRECT(H274),INDIRECT(LEFT(J274,2)),INDIRECT(RIGHT(J274,2))))+Sta+IF(M274="",0,$G$2))</f>
        <v>1</v>
      </c>
      <c r="M274" s="29"/>
      <c r="N274" s="28" t="s">
        <v>420</v>
      </c>
      <c r="O274" s="28" t="s">
        <v>94</v>
      </c>
      <c r="P274" s="28" t="s">
        <v>55</v>
      </c>
      <c r="Q274" s="34"/>
      <c r="R274" s="28">
        <v>1</v>
      </c>
      <c r="S274" s="29">
        <v>0</v>
      </c>
      <c r="T274" s="29">
        <v>0</v>
      </c>
      <c r="U274" s="29">
        <f>S274+T274+VLOOKUP(N274,Ranges,2,FALSE)+VLOOKUP(O274,Durations,2,FALSE)+VLOOKUP(P274,Targets,2,FALSE)</f>
        <v>3</v>
      </c>
      <c r="V274" s="31"/>
    </row>
    <row r="275" spans="1:22" s="30" customFormat="1" ht="12.75">
      <c r="A275" s="24">
        <f>IF(OR(B275="Y",B275="M"),K275,"")</f>
      </c>
      <c r="B275" s="24" t="s">
        <v>52</v>
      </c>
      <c r="C275" s="29">
        <f>IF(G275="","--",(L275-Sta+Int)/2)</f>
        <v>1.5</v>
      </c>
      <c r="D275" s="29">
        <f>IF(AND(K275&lt;&gt;"",K275&lt;&gt;"G"),K275-C275,"--")</f>
        <v>28.5</v>
      </c>
      <c r="E275" s="29">
        <f>IF(AND(K275&lt;&gt;"",K275&lt;&gt;"G"),K275-L275,"--")</f>
        <v>29</v>
      </c>
      <c r="F275" s="28" t="s">
        <v>315</v>
      </c>
      <c r="G275" s="26" t="s">
        <v>32</v>
      </c>
      <c r="H275" s="26" t="s">
        <v>25</v>
      </c>
      <c r="I275" s="52"/>
      <c r="J275" s="52" t="s">
        <v>18</v>
      </c>
      <c r="K275" s="27">
        <f>IF(R275="G","G",IF(R275&gt;=5,R275+U275*5,IF((R275+U275)&lt;=5,(R275+U275),(5+5*(R275+U275-5)))))</f>
        <v>30</v>
      </c>
      <c r="L275" s="29">
        <f ca="1">IF(G275="","--",IF(I275="",INDIRECT(G275),MIN(INDIRECT(G275),INDIRECT(LEFT(I275,2)),INDIRECT(RIGHT(I275,2))))+IF(J275="",INDIRECT(H275),MIN(INDIRECT(H275),INDIRECT(LEFT(J275,2)),INDIRECT(RIGHT(J275,2))))+Sta+IF(M275="",0,$G$2))</f>
        <v>1</v>
      </c>
      <c r="M275" s="29"/>
      <c r="N275" s="28" t="s">
        <v>420</v>
      </c>
      <c r="O275" s="28" t="s">
        <v>94</v>
      </c>
      <c r="P275" s="28" t="s">
        <v>55</v>
      </c>
      <c r="Q275" s="34"/>
      <c r="R275" s="28">
        <v>15</v>
      </c>
      <c r="S275" s="29">
        <v>0</v>
      </c>
      <c r="T275" s="29">
        <v>0</v>
      </c>
      <c r="U275" s="29">
        <f>S275+T275+VLOOKUP(N275,Ranges,2,FALSE)+VLOOKUP(O275,Durations,2,FALSE)+VLOOKUP(P275,Targets,2,FALSE)</f>
        <v>3</v>
      </c>
      <c r="V275" s="31"/>
    </row>
    <row r="276" spans="1:22" s="30" customFormat="1" ht="12.75">
      <c r="A276" s="24">
        <f t="shared" si="36"/>
      </c>
      <c r="B276" s="24" t="s">
        <v>52</v>
      </c>
      <c r="C276" s="29">
        <f t="shared" si="37"/>
        <v>1.5</v>
      </c>
      <c r="D276" s="29">
        <f t="shared" si="38"/>
        <v>33.5</v>
      </c>
      <c r="E276" s="29">
        <f t="shared" si="39"/>
        <v>34</v>
      </c>
      <c r="F276" s="28" t="s">
        <v>454</v>
      </c>
      <c r="G276" s="26" t="s">
        <v>32</v>
      </c>
      <c r="H276" s="26" t="s">
        <v>25</v>
      </c>
      <c r="I276" s="52" t="s">
        <v>54</v>
      </c>
      <c r="J276" s="52" t="s">
        <v>54</v>
      </c>
      <c r="K276" s="27">
        <f t="shared" si="35"/>
        <v>35</v>
      </c>
      <c r="L276" s="29">
        <f ca="1" t="shared" si="40"/>
        <v>1</v>
      </c>
      <c r="M276" s="29"/>
      <c r="N276" s="28" t="s">
        <v>420</v>
      </c>
      <c r="O276" s="28" t="s">
        <v>101</v>
      </c>
      <c r="P276" s="28" t="s">
        <v>55</v>
      </c>
      <c r="Q276" s="34" t="s">
        <v>62</v>
      </c>
      <c r="R276" s="28">
        <v>10</v>
      </c>
      <c r="S276" s="29">
        <v>0</v>
      </c>
      <c r="T276" s="29">
        <v>0</v>
      </c>
      <c r="U276" s="29">
        <f t="shared" si="41"/>
        <v>5</v>
      </c>
      <c r="V276" s="31"/>
    </row>
    <row r="277" spans="1:22" s="30" customFormat="1" ht="12.75">
      <c r="A277" s="24">
        <f t="shared" si="36"/>
      </c>
      <c r="B277" s="24" t="s">
        <v>52</v>
      </c>
      <c r="C277" s="29">
        <f t="shared" si="37"/>
        <v>1.5</v>
      </c>
      <c r="D277" s="29">
        <f t="shared" si="38"/>
        <v>38.5</v>
      </c>
      <c r="E277" s="29">
        <f t="shared" si="39"/>
        <v>39</v>
      </c>
      <c r="F277" s="28" t="s">
        <v>455</v>
      </c>
      <c r="G277" s="26" t="s">
        <v>32</v>
      </c>
      <c r="H277" s="26" t="s">
        <v>25</v>
      </c>
      <c r="I277" s="52" t="s">
        <v>54</v>
      </c>
      <c r="J277" s="52" t="s">
        <v>18</v>
      </c>
      <c r="K277" s="27">
        <f t="shared" si="35"/>
        <v>40</v>
      </c>
      <c r="L277" s="29">
        <f ca="1" t="shared" si="40"/>
        <v>1</v>
      </c>
      <c r="M277" s="29"/>
      <c r="N277" s="28" t="s">
        <v>420</v>
      </c>
      <c r="O277" s="28" t="s">
        <v>94</v>
      </c>
      <c r="P277" s="28" t="s">
        <v>55</v>
      </c>
      <c r="Q277" s="34"/>
      <c r="R277" s="28">
        <v>25</v>
      </c>
      <c r="S277" s="29">
        <v>0</v>
      </c>
      <c r="T277" s="29">
        <v>0</v>
      </c>
      <c r="U277" s="29">
        <f t="shared" si="41"/>
        <v>3</v>
      </c>
      <c r="V277" s="31"/>
    </row>
    <row r="278" spans="1:22" s="30" customFormat="1" ht="12.75">
      <c r="A278" s="24">
        <f t="shared" si="36"/>
      </c>
      <c r="B278" s="24" t="s">
        <v>52</v>
      </c>
      <c r="C278" s="29">
        <f t="shared" si="37"/>
        <v>1.5</v>
      </c>
      <c r="D278" s="29">
        <f t="shared" si="38"/>
        <v>38.5</v>
      </c>
      <c r="E278" s="29">
        <f t="shared" si="39"/>
        <v>39</v>
      </c>
      <c r="F278" s="28" t="s">
        <v>456</v>
      </c>
      <c r="G278" s="26" t="s">
        <v>32</v>
      </c>
      <c r="H278" s="26" t="s">
        <v>25</v>
      </c>
      <c r="I278" s="52" t="s">
        <v>54</v>
      </c>
      <c r="J278" s="52" t="s">
        <v>24</v>
      </c>
      <c r="K278" s="27">
        <f t="shared" si="35"/>
        <v>40</v>
      </c>
      <c r="L278" s="29">
        <f ca="1" t="shared" si="40"/>
        <v>1</v>
      </c>
      <c r="M278" s="29"/>
      <c r="N278" s="28" t="s">
        <v>59</v>
      </c>
      <c r="O278" s="28" t="s">
        <v>94</v>
      </c>
      <c r="P278" s="28" t="s">
        <v>105</v>
      </c>
      <c r="Q278" s="34"/>
      <c r="R278" s="28">
        <v>15</v>
      </c>
      <c r="S278" s="29">
        <v>0</v>
      </c>
      <c r="T278" s="29">
        <v>0</v>
      </c>
      <c r="U278" s="29">
        <f t="shared" si="41"/>
        <v>5</v>
      </c>
      <c r="V278" s="31"/>
    </row>
    <row r="279" spans="1:22" s="30" customFormat="1" ht="12.75">
      <c r="A279" s="24">
        <f>IF(OR(B279="Y",B279="M"),K279,"")</f>
      </c>
      <c r="B279" s="24" t="s">
        <v>52</v>
      </c>
      <c r="C279" s="29">
        <f>IF(G279="","--",(L279-Sta+Int)/2)</f>
        <v>1.5</v>
      </c>
      <c r="D279" s="29" t="str">
        <f>IF(AND(K279&lt;&gt;"",K279&lt;&gt;"G"),K279-C279,"--")</f>
        <v>--</v>
      </c>
      <c r="E279" s="29" t="str">
        <f>IF(AND(K279&lt;&gt;"",K279&lt;&gt;"G"),K279-L279,"--")</f>
        <v>--</v>
      </c>
      <c r="F279" s="50" t="s">
        <v>324</v>
      </c>
      <c r="G279" s="26" t="s">
        <v>33</v>
      </c>
      <c r="H279" s="26" t="s">
        <v>25</v>
      </c>
      <c r="I279" s="52" t="s">
        <v>54</v>
      </c>
      <c r="J279" s="52" t="s">
        <v>54</v>
      </c>
      <c r="K279" s="34" t="str">
        <f>IF(R279="G","G",IF(R279&gt;=5,R279+U279*5,IF((R279+U279)&lt;=5,(R279+U279),(5+5*(R279+U279-5)))))</f>
        <v>G</v>
      </c>
      <c r="L279" s="29">
        <f ca="1">IF(G279="","--",IF(I279="",INDIRECT(G279),MIN(INDIRECT(G279),INDIRECT(LEFT(I279,2)),INDIRECT(RIGHT(I279,2))))+IF(J279="",INDIRECT(H279),MIN(INDIRECT(H279),INDIRECT(LEFT(J279,2)),INDIRECT(RIGHT(J279,2))))+Sta+IF(M279="",0,$G$2))</f>
        <v>1</v>
      </c>
      <c r="M279" s="29"/>
      <c r="N279" s="28" t="s">
        <v>426</v>
      </c>
      <c r="O279" s="28" t="s">
        <v>76</v>
      </c>
      <c r="P279" s="28" t="s">
        <v>55</v>
      </c>
      <c r="Q279" s="34"/>
      <c r="R279" s="28" t="s">
        <v>63</v>
      </c>
      <c r="S279" s="29">
        <v>0</v>
      </c>
      <c r="T279" s="29">
        <v>0</v>
      </c>
      <c r="U279" s="29">
        <f>S279+T279+VLOOKUP(N279,Ranges,2,FALSE)+VLOOKUP(O279,Durations,2,FALSE)+VLOOKUP(P279,Targets,2,FALSE)</f>
        <v>2</v>
      </c>
      <c r="V279" s="31"/>
    </row>
    <row r="280" spans="1:22" s="30" customFormat="1" ht="12.75">
      <c r="A280" s="24">
        <f t="shared" si="36"/>
      </c>
      <c r="B280" s="24" t="s">
        <v>52</v>
      </c>
      <c r="C280" s="29">
        <f t="shared" si="37"/>
        <v>1.5</v>
      </c>
      <c r="D280" s="29">
        <f t="shared" si="38"/>
        <v>3.5</v>
      </c>
      <c r="E280" s="29">
        <f t="shared" si="39"/>
        <v>4</v>
      </c>
      <c r="F280" s="28" t="s">
        <v>316</v>
      </c>
      <c r="G280" s="26" t="s">
        <v>33</v>
      </c>
      <c r="H280" s="26" t="s">
        <v>25</v>
      </c>
      <c r="I280" s="52" t="s">
        <v>54</v>
      </c>
      <c r="J280" s="52" t="s">
        <v>54</v>
      </c>
      <c r="K280" s="27">
        <f t="shared" si="35"/>
        <v>5</v>
      </c>
      <c r="L280" s="29">
        <f ca="1" t="shared" si="40"/>
        <v>1</v>
      </c>
      <c r="M280" s="29"/>
      <c r="N280" s="28" t="s">
        <v>420</v>
      </c>
      <c r="O280" s="28" t="s">
        <v>265</v>
      </c>
      <c r="P280" s="28" t="s">
        <v>55</v>
      </c>
      <c r="Q280" s="34"/>
      <c r="R280" s="28">
        <v>3</v>
      </c>
      <c r="S280" s="29">
        <v>0</v>
      </c>
      <c r="T280" s="29">
        <v>0</v>
      </c>
      <c r="U280" s="29">
        <f t="shared" si="41"/>
        <v>2</v>
      </c>
      <c r="V280" s="31" t="s">
        <v>572</v>
      </c>
    </row>
    <row r="281" spans="1:22" s="30" customFormat="1" ht="12.75">
      <c r="A281" s="24">
        <f>IF(OR(B281="Y",B281="M"),K281,"")</f>
      </c>
      <c r="B281" s="24" t="s">
        <v>52</v>
      </c>
      <c r="C281" s="29">
        <f>IF(G281="","--",(L281-Sta+Int)/2)</f>
        <v>1.5</v>
      </c>
      <c r="D281" s="29">
        <f>IF(AND(K281&lt;&gt;"",K281&lt;&gt;"G"),K281-C281,"--")</f>
        <v>8.5</v>
      </c>
      <c r="E281" s="29">
        <f>IF(AND(K281&lt;&gt;"",K281&lt;&gt;"G"),K281-L281,"--")</f>
        <v>9</v>
      </c>
      <c r="F281" s="28" t="s">
        <v>318</v>
      </c>
      <c r="G281" s="26" t="s">
        <v>33</v>
      </c>
      <c r="H281" s="26" t="s">
        <v>25</v>
      </c>
      <c r="I281" s="52" t="s">
        <v>54</v>
      </c>
      <c r="J281" s="52" t="s">
        <v>54</v>
      </c>
      <c r="K281" s="27">
        <f>IF(R281="G","G",IF(R281&gt;=5,R281+U281*5,IF((R281+U281)&lt;=5,(R281+U281),(5+5*(R281+U281-5)))))</f>
        <v>10</v>
      </c>
      <c r="L281" s="29">
        <f ca="1">IF(G281="","--",IF(I281="",INDIRECT(G281),MIN(INDIRECT(G281),INDIRECT(LEFT(I281,2)),INDIRECT(RIGHT(I281,2))))+IF(J281="",INDIRECT(H281),MIN(INDIRECT(H281),INDIRECT(LEFT(J281,2)),INDIRECT(RIGHT(J281,2))))+Sta+IF(M281="",0,$G$2))</f>
        <v>1</v>
      </c>
      <c r="M281" s="29"/>
      <c r="N281" s="28" t="s">
        <v>420</v>
      </c>
      <c r="O281" s="28" t="s">
        <v>265</v>
      </c>
      <c r="P281" s="28" t="s">
        <v>55</v>
      </c>
      <c r="Q281" s="34"/>
      <c r="R281" s="28">
        <v>4</v>
      </c>
      <c r="S281" s="29">
        <v>0</v>
      </c>
      <c r="T281" s="29">
        <v>0</v>
      </c>
      <c r="U281" s="29">
        <f>S281+T281+VLOOKUP(N281,Ranges,2,FALSE)+VLOOKUP(O281,Durations,2,FALSE)+VLOOKUP(P281,Targets,2,FALSE)</f>
        <v>2</v>
      </c>
      <c r="V281" s="31" t="s">
        <v>573</v>
      </c>
    </row>
    <row r="282" spans="1:22" s="30" customFormat="1" ht="12.75">
      <c r="A282" s="24">
        <f>IF(OR(B282="Y",B282="M"),K282,"")</f>
      </c>
      <c r="B282" s="24" t="s">
        <v>52</v>
      </c>
      <c r="C282" s="29">
        <f>IF(G282="","--",(L282-Sta+Int)/2)</f>
        <v>1.5</v>
      </c>
      <c r="D282" s="29">
        <f>IF(AND(K282&lt;&gt;"",K282&lt;&gt;"G"),K282-C282,"--")</f>
        <v>13.5</v>
      </c>
      <c r="E282" s="29">
        <f>IF(AND(K282&lt;&gt;"",K282&lt;&gt;"G"),K282-L282,"--")</f>
        <v>14</v>
      </c>
      <c r="F282" s="28" t="s">
        <v>319</v>
      </c>
      <c r="G282" s="26" t="s">
        <v>33</v>
      </c>
      <c r="H282" s="26" t="s">
        <v>25</v>
      </c>
      <c r="I282" s="52" t="s">
        <v>54</v>
      </c>
      <c r="J282" s="52" t="s">
        <v>54</v>
      </c>
      <c r="K282" s="27">
        <f>IF(R282="G","G",IF(R282&gt;=5,R282+U282*5,IF((R282+U282)&lt;=5,(R282+U282),(5+5*(R282+U282-5)))))</f>
        <v>15</v>
      </c>
      <c r="L282" s="29">
        <f ca="1">IF(G282="","--",IF(I282="",INDIRECT(G282),MIN(INDIRECT(G282),INDIRECT(LEFT(I282,2)),INDIRECT(RIGHT(I282,2))))+IF(J282="",INDIRECT(H282),MIN(INDIRECT(H282),INDIRECT(LEFT(J282,2)),INDIRECT(RIGHT(J282,2))))+Sta+IF(M282="",0,$G$2))</f>
        <v>1</v>
      </c>
      <c r="M282" s="29"/>
      <c r="N282" s="28" t="s">
        <v>426</v>
      </c>
      <c r="O282" s="28" t="s">
        <v>76</v>
      </c>
      <c r="P282" s="28" t="s">
        <v>55</v>
      </c>
      <c r="Q282" s="34"/>
      <c r="R282" s="28">
        <v>5</v>
      </c>
      <c r="S282" s="29">
        <v>0</v>
      </c>
      <c r="T282" s="29">
        <v>0</v>
      </c>
      <c r="U282" s="29">
        <f>S282+T282+VLOOKUP(N282,Ranges,2,FALSE)+VLOOKUP(O282,Durations,2,FALSE)+VLOOKUP(P282,Targets,2,FALSE)</f>
        <v>2</v>
      </c>
      <c r="V282" s="31"/>
    </row>
    <row r="283" spans="1:22" s="30" customFormat="1" ht="12.75">
      <c r="A283" s="24">
        <f>IF(OR(B283="Y",B283="M"),K283,"")</f>
      </c>
      <c r="B283" s="24" t="s">
        <v>52</v>
      </c>
      <c r="C283" s="29">
        <f>IF(G283="","--",(L283-Sta+Int)/2)</f>
        <v>1.5</v>
      </c>
      <c r="D283" s="29">
        <f>IF(AND(K283&lt;&gt;"",K283&lt;&gt;"G"),K283-C283,"--")</f>
        <v>13.5</v>
      </c>
      <c r="E283" s="29">
        <f>IF(AND(K283&lt;&gt;"",K283&lt;&gt;"G"),K283-L283,"--")</f>
        <v>14</v>
      </c>
      <c r="F283" s="28" t="s">
        <v>313</v>
      </c>
      <c r="G283" s="26" t="s">
        <v>33</v>
      </c>
      <c r="H283" s="26" t="s">
        <v>25</v>
      </c>
      <c r="I283" s="52"/>
      <c r="J283" s="52" t="s">
        <v>54</v>
      </c>
      <c r="K283" s="27">
        <f>IF(R283="G","G",IF(R283&gt;=5,R283+U283*5,IF((R283+U283)&lt;=5,(R283+U283),(5+5*(R283+U283-5)))))</f>
        <v>15</v>
      </c>
      <c r="L283" s="29">
        <f ca="1">IF(G283="","--",IF(I283="",INDIRECT(G283),MIN(INDIRECT(G283),INDIRECT(LEFT(I283,2)),INDIRECT(RIGHT(I283,2))))+IF(J283="",INDIRECT(H283),MIN(INDIRECT(H283),INDIRECT(LEFT(J283,2)),INDIRECT(RIGHT(J283,2))))+Sta+IF(M283="",0,$G$2))</f>
        <v>1</v>
      </c>
      <c r="M283" s="29"/>
      <c r="N283" s="28" t="s">
        <v>420</v>
      </c>
      <c r="O283" s="28" t="s">
        <v>94</v>
      </c>
      <c r="P283" s="28" t="s">
        <v>55</v>
      </c>
      <c r="Q283" s="34"/>
      <c r="R283" s="28">
        <v>4</v>
      </c>
      <c r="S283" s="29">
        <v>0</v>
      </c>
      <c r="T283" s="29">
        <v>0</v>
      </c>
      <c r="U283" s="29">
        <f>S283+T283+VLOOKUP(N283,Ranges,2,FALSE)+VLOOKUP(O283,Durations,2,FALSE)+VLOOKUP(P283,Targets,2,FALSE)</f>
        <v>3</v>
      </c>
      <c r="V283" s="31"/>
    </row>
    <row r="284" spans="1:22" s="30" customFormat="1" ht="12.75">
      <c r="A284" s="24">
        <f>IF(OR(B284="Y",B284="M"),K284,"")</f>
      </c>
      <c r="B284" s="24" t="s">
        <v>52</v>
      </c>
      <c r="C284" s="29">
        <f>IF(G284="","--",(L284-Sta+Int)/2)</f>
        <v>1.5</v>
      </c>
      <c r="D284" s="29">
        <f>IF(AND(K284&lt;&gt;"",K284&lt;&gt;"G"),K284-C284,"--")</f>
        <v>13.5</v>
      </c>
      <c r="E284" s="29">
        <f>IF(AND(K284&lt;&gt;"",K284&lt;&gt;"G"),K284-L284,"--")</f>
        <v>14</v>
      </c>
      <c r="F284" s="28" t="s">
        <v>317</v>
      </c>
      <c r="G284" s="26" t="s">
        <v>33</v>
      </c>
      <c r="H284" s="26" t="s">
        <v>25</v>
      </c>
      <c r="I284" s="52" t="s">
        <v>30</v>
      </c>
      <c r="J284" s="52" t="s">
        <v>54</v>
      </c>
      <c r="K284" s="27">
        <f>IF(R284="G","G",IF(R284&gt;=5,R284+U284*5,IF((R284+U284)&lt;=5,(R284+U284),(5+5*(R284+U284-5)))))</f>
        <v>15</v>
      </c>
      <c r="L284" s="29">
        <f ca="1">IF(G284="","--",IF(I284="",INDIRECT(G284),MIN(INDIRECT(G284),INDIRECT(LEFT(I284,2)),INDIRECT(RIGHT(I284,2))))+IF(J284="",INDIRECT(H284),MIN(INDIRECT(H284),INDIRECT(LEFT(J284,2)),INDIRECT(RIGHT(J284,2))))+Sta+IF(M284="",0,$G$2))</f>
        <v>1</v>
      </c>
      <c r="M284" s="29"/>
      <c r="N284" s="28" t="s">
        <v>420</v>
      </c>
      <c r="O284" s="28" t="s">
        <v>76</v>
      </c>
      <c r="P284" s="28" t="s">
        <v>55</v>
      </c>
      <c r="Q284" s="34"/>
      <c r="R284" s="28">
        <v>10</v>
      </c>
      <c r="S284" s="29">
        <v>0</v>
      </c>
      <c r="T284" s="29">
        <v>0</v>
      </c>
      <c r="U284" s="29">
        <f>S284+T284+VLOOKUP(N284,Ranges,2,FALSE)+VLOOKUP(O284,Durations,2,FALSE)+VLOOKUP(P284,Targets,2,FALSE)</f>
        <v>1</v>
      </c>
      <c r="V284" s="31" t="s">
        <v>574</v>
      </c>
    </row>
    <row r="285" spans="1:22" s="30" customFormat="1" ht="12.75">
      <c r="A285" s="24">
        <f t="shared" si="36"/>
      </c>
      <c r="B285" s="24" t="s">
        <v>52</v>
      </c>
      <c r="C285" s="29">
        <f t="shared" si="37"/>
        <v>1.5</v>
      </c>
      <c r="D285" s="29">
        <f t="shared" si="38"/>
        <v>23.5</v>
      </c>
      <c r="E285" s="29">
        <f t="shared" si="39"/>
        <v>24</v>
      </c>
      <c r="F285" s="28" t="s">
        <v>320</v>
      </c>
      <c r="G285" s="26" t="s">
        <v>33</v>
      </c>
      <c r="H285" s="26" t="s">
        <v>25</v>
      </c>
      <c r="I285" s="52" t="s">
        <v>54</v>
      </c>
      <c r="J285" s="52" t="s">
        <v>54</v>
      </c>
      <c r="K285" s="27">
        <f t="shared" si="35"/>
        <v>25</v>
      </c>
      <c r="L285" s="29">
        <f ca="1" t="shared" si="40"/>
        <v>1</v>
      </c>
      <c r="M285" s="29"/>
      <c r="N285" s="28" t="s">
        <v>420</v>
      </c>
      <c r="O285" s="28" t="s">
        <v>94</v>
      </c>
      <c r="P285" s="28" t="s">
        <v>55</v>
      </c>
      <c r="Q285" s="34"/>
      <c r="R285" s="28">
        <v>10</v>
      </c>
      <c r="S285" s="29">
        <v>0</v>
      </c>
      <c r="T285" s="29">
        <v>0</v>
      </c>
      <c r="U285" s="29">
        <f t="shared" si="41"/>
        <v>3</v>
      </c>
      <c r="V285" s="31"/>
    </row>
    <row r="286" spans="1:22" s="30" customFormat="1" ht="12.75">
      <c r="A286" s="24">
        <f t="shared" si="36"/>
      </c>
      <c r="B286" s="24" t="s">
        <v>52</v>
      </c>
      <c r="C286" s="29">
        <f t="shared" si="37"/>
        <v>1.5</v>
      </c>
      <c r="D286" s="29">
        <f t="shared" si="38"/>
        <v>23.5</v>
      </c>
      <c r="E286" s="29">
        <f t="shared" si="39"/>
        <v>24</v>
      </c>
      <c r="F286" s="28" t="s">
        <v>321</v>
      </c>
      <c r="G286" s="26" t="s">
        <v>33</v>
      </c>
      <c r="H286" s="26" t="s">
        <v>25</v>
      </c>
      <c r="I286" s="52" t="s">
        <v>54</v>
      </c>
      <c r="J286" s="52" t="s">
        <v>54</v>
      </c>
      <c r="K286" s="27">
        <f t="shared" si="35"/>
        <v>25</v>
      </c>
      <c r="L286" s="29">
        <f ca="1" t="shared" si="40"/>
        <v>1</v>
      </c>
      <c r="M286" s="29"/>
      <c r="N286" s="28" t="s">
        <v>420</v>
      </c>
      <c r="O286" s="28" t="s">
        <v>66</v>
      </c>
      <c r="P286" s="28" t="s">
        <v>55</v>
      </c>
      <c r="Q286" s="34"/>
      <c r="R286" s="28">
        <v>15</v>
      </c>
      <c r="S286" s="29">
        <v>0</v>
      </c>
      <c r="T286" s="29">
        <v>0</v>
      </c>
      <c r="U286" s="29">
        <f t="shared" si="41"/>
        <v>2</v>
      </c>
      <c r="V286" s="31"/>
    </row>
    <row r="287" spans="1:22" s="30" customFormat="1" ht="12.75">
      <c r="A287" s="24">
        <f t="shared" si="36"/>
      </c>
      <c r="B287" s="24" t="s">
        <v>52</v>
      </c>
      <c r="C287" s="29">
        <f t="shared" si="37"/>
        <v>1.5</v>
      </c>
      <c r="D287" s="29">
        <f t="shared" si="38"/>
        <v>38.5</v>
      </c>
      <c r="E287" s="29">
        <f t="shared" si="39"/>
        <v>39</v>
      </c>
      <c r="F287" s="28" t="s">
        <v>322</v>
      </c>
      <c r="G287" s="26" t="s">
        <v>33</v>
      </c>
      <c r="H287" s="26" t="s">
        <v>25</v>
      </c>
      <c r="I287" s="52" t="s">
        <v>54</v>
      </c>
      <c r="J287" s="52" t="s">
        <v>54</v>
      </c>
      <c r="K287" s="27">
        <f t="shared" si="35"/>
        <v>40</v>
      </c>
      <c r="L287" s="29">
        <f ca="1" t="shared" si="40"/>
        <v>1</v>
      </c>
      <c r="M287" s="29"/>
      <c r="N287" s="28" t="s">
        <v>59</v>
      </c>
      <c r="O287" s="28" t="s">
        <v>60</v>
      </c>
      <c r="P287" s="28" t="s">
        <v>55</v>
      </c>
      <c r="Q287" s="34"/>
      <c r="R287" s="28">
        <v>15</v>
      </c>
      <c r="S287" s="29">
        <v>0</v>
      </c>
      <c r="T287" s="29">
        <v>1</v>
      </c>
      <c r="U287" s="29">
        <f t="shared" si="41"/>
        <v>5</v>
      </c>
      <c r="V287" s="31" t="s">
        <v>575</v>
      </c>
    </row>
    <row r="288" spans="1:22" s="30" customFormat="1" ht="12.75">
      <c r="A288" s="24">
        <f t="shared" si="36"/>
      </c>
      <c r="B288" s="24" t="s">
        <v>52</v>
      </c>
      <c r="C288" s="29">
        <f t="shared" si="37"/>
        <v>1.5</v>
      </c>
      <c r="D288" s="29">
        <f t="shared" si="38"/>
        <v>63.5</v>
      </c>
      <c r="E288" s="29">
        <f t="shared" si="39"/>
        <v>64</v>
      </c>
      <c r="F288" s="28" t="s">
        <v>323</v>
      </c>
      <c r="G288" s="26" t="s">
        <v>33</v>
      </c>
      <c r="H288" s="26" t="s">
        <v>25</v>
      </c>
      <c r="I288" s="52" t="s">
        <v>54</v>
      </c>
      <c r="J288" s="52" t="s">
        <v>54</v>
      </c>
      <c r="K288" s="27">
        <f aca="true" t="shared" si="42" ref="K288:K354">IF(R288="G","G",IF(R288&gt;=5,R288+U288*5,IF((R288+U288)&lt;=5,(R288+U288),(5+5*(R288+U288-5)))))</f>
        <v>65</v>
      </c>
      <c r="L288" s="29">
        <f ca="1" t="shared" si="40"/>
        <v>1</v>
      </c>
      <c r="M288" s="29"/>
      <c r="N288" s="28" t="s">
        <v>59</v>
      </c>
      <c r="O288" s="28" t="s">
        <v>60</v>
      </c>
      <c r="P288" s="28" t="s">
        <v>61</v>
      </c>
      <c r="Q288" s="34" t="s">
        <v>62</v>
      </c>
      <c r="R288" s="28">
        <v>4</v>
      </c>
      <c r="S288" s="29">
        <v>5</v>
      </c>
      <c r="T288" s="29">
        <v>0</v>
      </c>
      <c r="U288" s="29">
        <f t="shared" si="41"/>
        <v>13</v>
      </c>
      <c r="V288" s="94" t="s">
        <v>576</v>
      </c>
    </row>
    <row r="289" spans="1:22" s="30" customFormat="1" ht="12.75">
      <c r="A289" s="24">
        <f>IF(OR(B289="Y",B289="M"),K289,"")</f>
      </c>
      <c r="B289" s="24" t="s">
        <v>52</v>
      </c>
      <c r="C289" s="29">
        <f>IF(G289="","--",(L289-Sta+Int)/2)</f>
        <v>1.5</v>
      </c>
      <c r="D289" s="29" t="str">
        <f>IF(AND(K289&lt;&gt;"",K289&lt;&gt;"G"),K289-C289,"--")</f>
        <v>--</v>
      </c>
      <c r="E289" s="29" t="str">
        <f>IF(AND(K289&lt;&gt;"",K289&lt;&gt;"G"),K289-L289,"--")</f>
        <v>--</v>
      </c>
      <c r="F289" s="50" t="s">
        <v>335</v>
      </c>
      <c r="G289" s="26" t="s">
        <v>35</v>
      </c>
      <c r="H289" s="26" t="s">
        <v>25</v>
      </c>
      <c r="I289" s="52" t="s">
        <v>54</v>
      </c>
      <c r="J289" s="52" t="s">
        <v>54</v>
      </c>
      <c r="K289" s="34" t="str">
        <f>IF(R289="G","G",IF(R289&gt;=5,R289+U289*5,IF((R289+U289)&lt;=5,(R289+U289),(5+5*(R289+U289-5)))))</f>
        <v>G</v>
      </c>
      <c r="L289" s="29">
        <f ca="1">IF(G289="","--",IF(I289="",INDIRECT(G289),MIN(INDIRECT(G289),INDIRECT(LEFT(I289,2)),INDIRECT(RIGHT(I289,2))))+IF(J289="",INDIRECT(H289),MIN(INDIRECT(H289),INDIRECT(LEFT(J289,2)),INDIRECT(RIGHT(J289,2))))+Sta+IF(M289="",0,$G$2))</f>
        <v>1</v>
      </c>
      <c r="M289" s="29"/>
      <c r="N289" s="28" t="s">
        <v>59</v>
      </c>
      <c r="O289" s="28" t="s">
        <v>89</v>
      </c>
      <c r="P289" s="28" t="s">
        <v>160</v>
      </c>
      <c r="Q289" s="34"/>
      <c r="R289" s="28" t="s">
        <v>63</v>
      </c>
      <c r="S289" s="29">
        <v>0</v>
      </c>
      <c r="T289" s="29">
        <v>0</v>
      </c>
      <c r="U289" s="29">
        <f>S289+T289+VLOOKUP(N289,Ranges,2,FALSE)+VLOOKUP(O289,Durations,2,FALSE)+VLOOKUP(P289,Targets,2,FALSE)</f>
        <v>3</v>
      </c>
      <c r="V289" s="31" t="s">
        <v>439</v>
      </c>
    </row>
    <row r="290" spans="1:22" s="30" customFormat="1" ht="12.75">
      <c r="A290" s="24">
        <f>IF(OR(B290="Y",B290="M"),K290,"")</f>
      </c>
      <c r="B290" s="24" t="s">
        <v>52</v>
      </c>
      <c r="C290" s="29">
        <f>IF(G290="","--",(L290-Sta+Int)/2)</f>
        <v>1.5</v>
      </c>
      <c r="D290" s="29">
        <f>IF(AND(K290&lt;&gt;"",K290&lt;&gt;"G"),K290-C290,"--")</f>
        <v>8.5</v>
      </c>
      <c r="E290" s="29">
        <f>IF(AND(K290&lt;&gt;"",K290&lt;&gt;"G"),K290-L290,"--")</f>
        <v>9</v>
      </c>
      <c r="F290" s="28" t="s">
        <v>326</v>
      </c>
      <c r="G290" s="26" t="s">
        <v>35</v>
      </c>
      <c r="H290" s="26" t="s">
        <v>25</v>
      </c>
      <c r="I290" s="52" t="s">
        <v>54</v>
      </c>
      <c r="J290" s="52" t="s">
        <v>54</v>
      </c>
      <c r="K290" s="27">
        <f>IF(R290="G","G",IF(R290&gt;=5,R290+U290*5,IF((R290+U290)&lt;=5,(R290+U290),(5+5*(R290+U290-5)))))</f>
        <v>10</v>
      </c>
      <c r="L290" s="29">
        <f ca="1">IF(G290="","--",IF(I290="",INDIRECT(G290),MIN(INDIRECT(G290),INDIRECT(LEFT(I290,2)),INDIRECT(RIGHT(I290,2))))+IF(J290="",INDIRECT(H290),MIN(INDIRECT(H290),INDIRECT(LEFT(J290,2)),INDIRECT(RIGHT(J290,2))))+Sta+IF(M290="",0,$G$2))</f>
        <v>1</v>
      </c>
      <c r="M290" s="29"/>
      <c r="N290" s="28" t="s">
        <v>426</v>
      </c>
      <c r="O290" s="28" t="s">
        <v>76</v>
      </c>
      <c r="P290" s="28" t="s">
        <v>55</v>
      </c>
      <c r="Q290" s="34"/>
      <c r="R290" s="28">
        <v>4</v>
      </c>
      <c r="S290" s="29">
        <v>0</v>
      </c>
      <c r="T290" s="29">
        <v>0</v>
      </c>
      <c r="U290" s="29">
        <f>S290+T290+VLOOKUP(N290,Ranges,2,FALSE)+VLOOKUP(O290,Durations,2,FALSE)+VLOOKUP(P290,Targets,2,FALSE)</f>
        <v>2</v>
      </c>
      <c r="V290" s="31"/>
    </row>
    <row r="291" spans="1:22" s="30" customFormat="1" ht="12.75">
      <c r="A291" s="24">
        <f t="shared" si="36"/>
      </c>
      <c r="B291" s="24" t="s">
        <v>52</v>
      </c>
      <c r="C291" s="29">
        <f t="shared" si="37"/>
        <v>1.5</v>
      </c>
      <c r="D291" s="29">
        <f t="shared" si="38"/>
        <v>8.5</v>
      </c>
      <c r="E291" s="29">
        <f t="shared" si="39"/>
        <v>9</v>
      </c>
      <c r="F291" s="28" t="s">
        <v>325</v>
      </c>
      <c r="G291" s="26" t="s">
        <v>35</v>
      </c>
      <c r="H291" s="26" t="s">
        <v>25</v>
      </c>
      <c r="I291" s="52" t="s">
        <v>54</v>
      </c>
      <c r="J291" s="52" t="s">
        <v>54</v>
      </c>
      <c r="K291" s="27">
        <f t="shared" si="42"/>
        <v>10</v>
      </c>
      <c r="L291" s="29">
        <f ca="1" t="shared" si="40"/>
        <v>1</v>
      </c>
      <c r="M291" s="29"/>
      <c r="N291" s="28" t="s">
        <v>426</v>
      </c>
      <c r="O291" s="28" t="s">
        <v>76</v>
      </c>
      <c r="P291" s="28" t="s">
        <v>55</v>
      </c>
      <c r="Q291" s="34"/>
      <c r="R291" s="28">
        <v>4</v>
      </c>
      <c r="S291" s="29">
        <v>0</v>
      </c>
      <c r="T291" s="29">
        <v>0</v>
      </c>
      <c r="U291" s="29">
        <f t="shared" si="41"/>
        <v>2</v>
      </c>
      <c r="V291" s="31"/>
    </row>
    <row r="292" spans="1:22" s="30" customFormat="1" ht="12.75">
      <c r="A292" s="24">
        <f t="shared" si="36"/>
      </c>
      <c r="B292" s="24" t="s">
        <v>52</v>
      </c>
      <c r="C292" s="29">
        <f t="shared" si="37"/>
        <v>1.5</v>
      </c>
      <c r="D292" s="29">
        <f t="shared" si="38"/>
        <v>13.5</v>
      </c>
      <c r="E292" s="29">
        <f t="shared" si="39"/>
        <v>14</v>
      </c>
      <c r="F292" s="28" t="s">
        <v>327</v>
      </c>
      <c r="G292" s="26" t="s">
        <v>35</v>
      </c>
      <c r="H292" s="26" t="s">
        <v>25</v>
      </c>
      <c r="I292" s="52" t="s">
        <v>54</v>
      </c>
      <c r="J292" s="52" t="s">
        <v>54</v>
      </c>
      <c r="K292" s="27">
        <f t="shared" si="42"/>
        <v>15</v>
      </c>
      <c r="L292" s="29">
        <f ca="1" t="shared" si="40"/>
        <v>1</v>
      </c>
      <c r="M292" s="29"/>
      <c r="N292" s="28" t="s">
        <v>420</v>
      </c>
      <c r="O292" s="28" t="s">
        <v>94</v>
      </c>
      <c r="P292" s="28" t="s">
        <v>55</v>
      </c>
      <c r="Q292" s="34"/>
      <c r="R292" s="28">
        <v>4</v>
      </c>
      <c r="S292" s="29">
        <v>0</v>
      </c>
      <c r="T292" s="29">
        <v>0</v>
      </c>
      <c r="U292" s="29">
        <f t="shared" si="41"/>
        <v>3</v>
      </c>
      <c r="V292" s="31" t="s">
        <v>577</v>
      </c>
    </row>
    <row r="293" spans="1:22" s="30" customFormat="1" ht="12.75">
      <c r="A293" s="24">
        <f>IF(OR(B293="Y",B293="M"),K293,"")</f>
      </c>
      <c r="B293" s="24" t="s">
        <v>52</v>
      </c>
      <c r="C293" s="29">
        <f>IF(G293="","--",(L293-Sta+Int)/2)</f>
        <v>1.5</v>
      </c>
      <c r="D293" s="29">
        <f>IF(AND(K293&lt;&gt;"",K293&lt;&gt;"G"),K293-C293,"--")</f>
        <v>18.5</v>
      </c>
      <c r="E293" s="29">
        <f>IF(AND(K293&lt;&gt;"",K293&lt;&gt;"G"),K293-L293,"--")</f>
        <v>19</v>
      </c>
      <c r="F293" s="28" t="s">
        <v>329</v>
      </c>
      <c r="G293" s="26" t="s">
        <v>35</v>
      </c>
      <c r="H293" s="26" t="s">
        <v>25</v>
      </c>
      <c r="I293" s="52" t="s">
        <v>54</v>
      </c>
      <c r="J293" s="52" t="s">
        <v>54</v>
      </c>
      <c r="K293" s="27">
        <f>IF(R293="G","G",IF(R293&gt;=5,R293+U293*5,IF((R293+U293)&lt;=5,(R293+U293),(5+5*(R293+U293-5)))))</f>
        <v>20</v>
      </c>
      <c r="L293" s="29">
        <f ca="1">IF(G293="","--",IF(I293="",INDIRECT(G293),MIN(INDIRECT(G293),INDIRECT(LEFT(I293,2)),INDIRECT(RIGHT(I293,2))))+IF(J293="",INDIRECT(H293),MIN(INDIRECT(H293),INDIRECT(LEFT(J293,2)),INDIRECT(RIGHT(J293,2))))+Sta+IF(M293="",0,$G$2))</f>
        <v>1</v>
      </c>
      <c r="M293" s="29"/>
      <c r="N293" s="28" t="s">
        <v>420</v>
      </c>
      <c r="O293" s="28" t="s">
        <v>94</v>
      </c>
      <c r="P293" s="28" t="s">
        <v>55</v>
      </c>
      <c r="Q293" s="34"/>
      <c r="R293" s="28">
        <v>5</v>
      </c>
      <c r="S293" s="29">
        <v>0</v>
      </c>
      <c r="T293" s="29">
        <v>0</v>
      </c>
      <c r="U293" s="29">
        <f>S293+T293+VLOOKUP(N293,Ranges,2,FALSE)+VLOOKUP(O293,Durations,2,FALSE)+VLOOKUP(P293,Targets,2,FALSE)</f>
        <v>3</v>
      </c>
      <c r="V293" s="31"/>
    </row>
    <row r="294" spans="1:22" s="30" customFormat="1" ht="12.75">
      <c r="A294" s="24">
        <f>IF(OR(B294="Y",B294="M"),K294,"")</f>
      </c>
      <c r="B294" s="24" t="s">
        <v>52</v>
      </c>
      <c r="C294" s="29">
        <f>IF(G294="","--",(L294-Sta+Int)/2)</f>
        <v>1.5</v>
      </c>
      <c r="D294" s="29">
        <f>IF(AND(K294&lt;&gt;"",K294&lt;&gt;"G"),K294-C294,"--")</f>
        <v>18.5</v>
      </c>
      <c r="E294" s="29">
        <f>IF(AND(K294&lt;&gt;"",K294&lt;&gt;"G"),K294-L294,"--")</f>
        <v>19</v>
      </c>
      <c r="F294" s="28" t="s">
        <v>334</v>
      </c>
      <c r="G294" s="26" t="s">
        <v>35</v>
      </c>
      <c r="H294" s="26" t="s">
        <v>25</v>
      </c>
      <c r="I294" s="52" t="s">
        <v>54</v>
      </c>
      <c r="J294" s="52" t="s">
        <v>54</v>
      </c>
      <c r="K294" s="27">
        <f>IF(R294="G","G",IF(R294&gt;=5,R294+U294*5,IF((R294+U294)&lt;=5,(R294+U294),(5+5*(R294+U294-5)))))</f>
        <v>20</v>
      </c>
      <c r="L294" s="29">
        <f ca="1">IF(G294="","--",IF(I294="",INDIRECT(G294),MIN(INDIRECT(G294),INDIRECT(LEFT(I294,2)),INDIRECT(RIGHT(I294,2))))+IF(J294="",INDIRECT(H294),MIN(INDIRECT(H294),INDIRECT(LEFT(J294,2)),INDIRECT(RIGHT(J294,2))))+Sta+IF(M294="",0,$G$2))</f>
        <v>1</v>
      </c>
      <c r="M294" s="29"/>
      <c r="N294" s="28" t="s">
        <v>426</v>
      </c>
      <c r="O294" s="28" t="s">
        <v>66</v>
      </c>
      <c r="P294" s="28" t="s">
        <v>55</v>
      </c>
      <c r="Q294" s="34"/>
      <c r="R294" s="28">
        <v>5</v>
      </c>
      <c r="S294" s="29">
        <v>0</v>
      </c>
      <c r="T294" s="29">
        <v>0</v>
      </c>
      <c r="U294" s="29">
        <f>S294+T294+VLOOKUP(N294,Ranges,2,FALSE)+VLOOKUP(O294,Durations,2,FALSE)+VLOOKUP(P294,Targets,2,FALSE)</f>
        <v>3</v>
      </c>
      <c r="V294" s="31" t="s">
        <v>578</v>
      </c>
    </row>
    <row r="295" spans="1:22" s="30" customFormat="1" ht="12.75">
      <c r="A295" s="24">
        <f>IF(OR(B295="Y",B295="M"),K295,"")</f>
      </c>
      <c r="B295" s="24" t="s">
        <v>52</v>
      </c>
      <c r="C295" s="29">
        <f>IF(G295="","--",(L295-Sta+Int)/2)</f>
        <v>1.5</v>
      </c>
      <c r="D295" s="29">
        <f>IF(AND(K295&lt;&gt;"",K295&lt;&gt;"G"),K295-C295,"--")</f>
        <v>18.5</v>
      </c>
      <c r="E295" s="29">
        <f>IF(AND(K295&lt;&gt;"",K295&lt;&gt;"G"),K295-L295,"--")</f>
        <v>19</v>
      </c>
      <c r="F295" s="28" t="s">
        <v>328</v>
      </c>
      <c r="G295" s="26" t="s">
        <v>35</v>
      </c>
      <c r="H295" s="26" t="s">
        <v>25</v>
      </c>
      <c r="I295" s="52" t="s">
        <v>54</v>
      </c>
      <c r="J295" s="52"/>
      <c r="K295" s="27">
        <f>IF(R295="G","G",IF(R295&gt;=5,R295+U295*5,IF((R295+U295)&lt;=5,(R295+U295),(5+5*(R295+U295-5)))))</f>
        <v>20</v>
      </c>
      <c r="L295" s="29">
        <f ca="1">IF(G295="","--",IF(I295="",INDIRECT(G295),MIN(INDIRECT(G295),INDIRECT(LEFT(I295,2)),INDIRECT(RIGHT(I295,2))))+IF(J295="",INDIRECT(H295),MIN(INDIRECT(H295),INDIRECT(LEFT(J295,2)),INDIRECT(RIGHT(J295,2))))+Sta+IF(M295="",0,$G$2))</f>
        <v>1</v>
      </c>
      <c r="M295" s="29"/>
      <c r="N295" s="28" t="s">
        <v>426</v>
      </c>
      <c r="O295" s="28" t="s">
        <v>76</v>
      </c>
      <c r="P295" s="28" t="s">
        <v>105</v>
      </c>
      <c r="Q295" s="34"/>
      <c r="R295" s="28">
        <v>4</v>
      </c>
      <c r="S295" s="29">
        <v>0</v>
      </c>
      <c r="T295" s="29">
        <v>0</v>
      </c>
      <c r="U295" s="29">
        <f>S295+T295+VLOOKUP(N295,Ranges,2,FALSE)+VLOOKUP(O295,Durations,2,FALSE)+VLOOKUP(P295,Targets,2,FALSE)</f>
        <v>4</v>
      </c>
      <c r="V295" s="31"/>
    </row>
    <row r="296" spans="1:22" s="30" customFormat="1" ht="12.75">
      <c r="A296" s="24">
        <f>IF(OR(B296="Y",B296="M"),K296,"")</f>
      </c>
      <c r="B296" s="24" t="s">
        <v>52</v>
      </c>
      <c r="C296" s="29">
        <f>IF(G296="","--",(L296-Sta+Int)/2)</f>
        <v>1.5</v>
      </c>
      <c r="D296" s="29">
        <f>IF(AND(K296&lt;&gt;"",K296&lt;&gt;"G"),K296-C296,"--")</f>
        <v>28.5</v>
      </c>
      <c r="E296" s="29">
        <f>IF(AND(K296&lt;&gt;"",K296&lt;&gt;"G"),K296-L296,"--")</f>
        <v>29</v>
      </c>
      <c r="F296" s="28" t="s">
        <v>457</v>
      </c>
      <c r="G296" s="26" t="s">
        <v>35</v>
      </c>
      <c r="H296" s="26" t="s">
        <v>25</v>
      </c>
      <c r="I296" s="52" t="s">
        <v>54</v>
      </c>
      <c r="J296" s="52" t="s">
        <v>54</v>
      </c>
      <c r="K296" s="27">
        <f>IF(R296="G","G",IF(R296&gt;=5,R296+U296*5,IF((R296+U296)&lt;=5,(R296+U296),(5+5*(R296+U296-5)))))</f>
        <v>30</v>
      </c>
      <c r="L296" s="29">
        <f ca="1">IF(G296="","--",IF(I296="",INDIRECT(G296),MIN(INDIRECT(G296),INDIRECT(LEFT(I296,2)),INDIRECT(RIGHT(I296,2))))+IF(J296="",INDIRECT(H296),MIN(INDIRECT(H296),INDIRECT(LEFT(J296,2)),INDIRECT(RIGHT(J296,2))))+Sta+IF(M296="",0,$G$2))</f>
        <v>1</v>
      </c>
      <c r="M296" s="29"/>
      <c r="N296" s="28" t="s">
        <v>426</v>
      </c>
      <c r="O296" s="28" t="s">
        <v>94</v>
      </c>
      <c r="P296" s="28" t="s">
        <v>55</v>
      </c>
      <c r="Q296" s="34"/>
      <c r="R296" s="28">
        <v>10</v>
      </c>
      <c r="S296" s="29">
        <v>0</v>
      </c>
      <c r="T296" s="29">
        <v>0</v>
      </c>
      <c r="U296" s="29">
        <f>S296+T296+VLOOKUP(N296,Ranges,2,FALSE)+VLOOKUP(O296,Durations,2,FALSE)+VLOOKUP(P296,Targets,2,FALSE)</f>
        <v>4</v>
      </c>
      <c r="V296" s="31" t="s">
        <v>512</v>
      </c>
    </row>
    <row r="297" spans="1:22" s="30" customFormat="1" ht="12.75">
      <c r="A297" s="24">
        <f t="shared" si="36"/>
      </c>
      <c r="B297" s="24" t="s">
        <v>52</v>
      </c>
      <c r="C297" s="29">
        <f t="shared" si="37"/>
        <v>1.5</v>
      </c>
      <c r="D297" s="29">
        <f t="shared" si="38"/>
        <v>38.5</v>
      </c>
      <c r="E297" s="29">
        <f t="shared" si="39"/>
        <v>39</v>
      </c>
      <c r="F297" s="28" t="s">
        <v>330</v>
      </c>
      <c r="G297" s="26" t="s">
        <v>35</v>
      </c>
      <c r="H297" s="26" t="s">
        <v>25</v>
      </c>
      <c r="I297" s="52" t="s">
        <v>54</v>
      </c>
      <c r="J297" s="52" t="s">
        <v>54</v>
      </c>
      <c r="K297" s="27">
        <f t="shared" si="42"/>
        <v>40</v>
      </c>
      <c r="L297" s="29">
        <f ca="1" t="shared" si="40"/>
        <v>1</v>
      </c>
      <c r="M297" s="29"/>
      <c r="N297" s="28" t="s">
        <v>65</v>
      </c>
      <c r="O297" s="28" t="s">
        <v>66</v>
      </c>
      <c r="P297" s="28" t="s">
        <v>55</v>
      </c>
      <c r="Q297" s="34" t="s">
        <v>62</v>
      </c>
      <c r="R297" s="28">
        <v>15</v>
      </c>
      <c r="S297" s="29">
        <v>0</v>
      </c>
      <c r="T297" s="29">
        <v>0</v>
      </c>
      <c r="U297" s="29">
        <f t="shared" si="41"/>
        <v>5</v>
      </c>
      <c r="V297" s="31"/>
    </row>
    <row r="298" spans="1:22" s="30" customFormat="1" ht="12.75">
      <c r="A298" s="24">
        <f>IF(OR(B298="Y",B298="M"),K298,"")</f>
      </c>
      <c r="B298" s="24" t="s">
        <v>52</v>
      </c>
      <c r="C298" s="29">
        <f>IF(G298="","--",(L298-Sta+Int)/2)</f>
        <v>1.5</v>
      </c>
      <c r="D298" s="29">
        <f>IF(AND(K298&lt;&gt;"",K298&lt;&gt;"G"),K298-C298,"--")</f>
        <v>38.5</v>
      </c>
      <c r="E298" s="29">
        <f>IF(AND(K298&lt;&gt;"",K298&lt;&gt;"G"),K298-L298,"--")</f>
        <v>39</v>
      </c>
      <c r="F298" s="28" t="s">
        <v>332</v>
      </c>
      <c r="G298" s="26" t="s">
        <v>35</v>
      </c>
      <c r="H298" s="26" t="s">
        <v>25</v>
      </c>
      <c r="I298" s="52" t="s">
        <v>54</v>
      </c>
      <c r="J298" s="52" t="s">
        <v>54</v>
      </c>
      <c r="K298" s="27">
        <f>IF(R298="G","G",IF(R298&gt;=5,R298+U298*5,IF((R298+U298)&lt;=5,(R298+U298),(5+5*(R298+U298-5)))))</f>
        <v>40</v>
      </c>
      <c r="L298" s="29">
        <f ca="1">IF(G298="","--",IF(I298="",INDIRECT(G298),MIN(INDIRECT(G298),INDIRECT(LEFT(I298,2)),INDIRECT(RIGHT(I298,2))))+IF(J298="",INDIRECT(H298),MIN(INDIRECT(H298),INDIRECT(LEFT(J298,2)),INDIRECT(RIGHT(J298,2))))+Sta+IF(M298="",0,$G$2))</f>
        <v>1</v>
      </c>
      <c r="M298" s="29"/>
      <c r="N298" s="28" t="s">
        <v>59</v>
      </c>
      <c r="O298" s="28" t="s">
        <v>101</v>
      </c>
      <c r="P298" s="28" t="s">
        <v>61</v>
      </c>
      <c r="Q298" s="34" t="s">
        <v>62</v>
      </c>
      <c r="R298" s="28">
        <v>3</v>
      </c>
      <c r="S298" s="29">
        <v>0</v>
      </c>
      <c r="T298" s="29">
        <v>0</v>
      </c>
      <c r="U298" s="29">
        <f>S298+T298+VLOOKUP(N298,Ranges,2,FALSE)+VLOOKUP(O298,Durations,2,FALSE)+VLOOKUP(P298,Targets,2,FALSE)</f>
        <v>9</v>
      </c>
      <c r="V298" s="31"/>
    </row>
    <row r="299" spans="1:22" s="30" customFormat="1" ht="12.75">
      <c r="A299" s="24">
        <f>IF(OR(B299="Y",B299="M"),K299,"")</f>
      </c>
      <c r="B299" s="24" t="s">
        <v>52</v>
      </c>
      <c r="C299" s="29">
        <f>IF(G299="","--",(L299-Sta+Int)/2)</f>
        <v>1.5</v>
      </c>
      <c r="D299" s="29">
        <f>IF(AND(K299&lt;&gt;"",K299&lt;&gt;"G"),K299-C299,"--")</f>
        <v>43.5</v>
      </c>
      <c r="E299" s="29">
        <f>IF(AND(K299&lt;&gt;"",K299&lt;&gt;"G"),K299-L299,"--")</f>
        <v>44</v>
      </c>
      <c r="F299" s="28" t="s">
        <v>331</v>
      </c>
      <c r="G299" s="26" t="s">
        <v>35</v>
      </c>
      <c r="H299" s="26" t="s">
        <v>25</v>
      </c>
      <c r="I299" s="52" t="s">
        <v>54</v>
      </c>
      <c r="J299" s="52" t="s">
        <v>54</v>
      </c>
      <c r="K299" s="27">
        <f>IF(R299="G","G",IF(R299&gt;=5,R299+U299*5,IF((R299+U299)&lt;=5,(R299+U299),(5+5*(R299+U299-5)))))</f>
        <v>45</v>
      </c>
      <c r="L299" s="29">
        <f ca="1">IF(G299="","--",IF(I299="",INDIRECT(G299),MIN(INDIRECT(G299),INDIRECT(LEFT(I299,2)),INDIRECT(RIGHT(I299,2))))+IF(J299="",INDIRECT(H299),MIN(INDIRECT(H299),INDIRECT(LEFT(J299,2)),INDIRECT(RIGHT(J299,2))))+Sta+IF(M299="",0,$G$2))</f>
        <v>1</v>
      </c>
      <c r="M299" s="29"/>
      <c r="N299" s="28" t="s">
        <v>420</v>
      </c>
      <c r="O299" s="28" t="s">
        <v>94</v>
      </c>
      <c r="P299" s="28" t="s">
        <v>55</v>
      </c>
      <c r="Q299" s="34"/>
      <c r="R299" s="28">
        <v>30</v>
      </c>
      <c r="S299" s="29">
        <v>0</v>
      </c>
      <c r="T299" s="29">
        <v>0</v>
      </c>
      <c r="U299" s="29">
        <f>S299+T299+VLOOKUP(N299,Ranges,2,FALSE)+VLOOKUP(O299,Durations,2,FALSE)+VLOOKUP(P299,Targets,2,FALSE)</f>
        <v>3</v>
      </c>
      <c r="V299" s="31"/>
    </row>
    <row r="300" spans="1:22" s="30" customFormat="1" ht="12.75">
      <c r="A300" s="24">
        <f t="shared" si="36"/>
      </c>
      <c r="B300" s="24" t="s">
        <v>52</v>
      </c>
      <c r="C300" s="29">
        <f t="shared" si="37"/>
        <v>1.5</v>
      </c>
      <c r="D300" s="29">
        <f t="shared" si="38"/>
        <v>53.5</v>
      </c>
      <c r="E300" s="29">
        <f t="shared" si="39"/>
        <v>54</v>
      </c>
      <c r="F300" s="28" t="s">
        <v>333</v>
      </c>
      <c r="G300" s="26" t="s">
        <v>35</v>
      </c>
      <c r="H300" s="26" t="s">
        <v>25</v>
      </c>
      <c r="I300" s="52" t="s">
        <v>54</v>
      </c>
      <c r="J300" s="52" t="s">
        <v>54</v>
      </c>
      <c r="K300" s="27">
        <f t="shared" si="42"/>
        <v>55</v>
      </c>
      <c r="L300" s="29">
        <f ca="1" t="shared" si="40"/>
        <v>1</v>
      </c>
      <c r="M300" s="29"/>
      <c r="N300" s="28" t="s">
        <v>59</v>
      </c>
      <c r="O300" s="28" t="s">
        <v>101</v>
      </c>
      <c r="P300" s="28" t="s">
        <v>85</v>
      </c>
      <c r="Q300" s="34" t="s">
        <v>62</v>
      </c>
      <c r="R300" s="28">
        <v>20</v>
      </c>
      <c r="S300" s="29">
        <v>0</v>
      </c>
      <c r="T300" s="29">
        <v>0</v>
      </c>
      <c r="U300" s="29">
        <f t="shared" si="41"/>
        <v>7</v>
      </c>
      <c r="V300" s="31"/>
    </row>
    <row r="301" spans="1:22" s="30" customFormat="1" ht="12.75">
      <c r="A301" s="24">
        <f t="shared" si="36"/>
      </c>
      <c r="B301" s="24" t="s">
        <v>52</v>
      </c>
      <c r="C301" s="29">
        <f t="shared" si="37"/>
        <v>1.5</v>
      </c>
      <c r="D301" s="29">
        <f t="shared" si="38"/>
        <v>13.5</v>
      </c>
      <c r="E301" s="29">
        <f t="shared" si="39"/>
        <v>14</v>
      </c>
      <c r="F301" s="28" t="s">
        <v>336</v>
      </c>
      <c r="G301" s="26" t="s">
        <v>29</v>
      </c>
      <c r="H301" s="26" t="s">
        <v>26</v>
      </c>
      <c r="I301" s="52" t="s">
        <v>54</v>
      </c>
      <c r="J301" s="52" t="s">
        <v>54</v>
      </c>
      <c r="K301" s="27">
        <f t="shared" si="42"/>
        <v>15</v>
      </c>
      <c r="L301" s="29">
        <f ca="1" t="shared" si="40"/>
        <v>1</v>
      </c>
      <c r="M301" s="29"/>
      <c r="N301" s="28" t="s">
        <v>426</v>
      </c>
      <c r="O301" s="28" t="s">
        <v>94</v>
      </c>
      <c r="P301" s="28" t="s">
        <v>85</v>
      </c>
      <c r="Q301" s="34"/>
      <c r="R301" s="28">
        <v>1</v>
      </c>
      <c r="S301" s="29">
        <v>0</v>
      </c>
      <c r="T301" s="29">
        <v>0</v>
      </c>
      <c r="U301" s="29">
        <f t="shared" si="41"/>
        <v>6</v>
      </c>
      <c r="V301" s="31" t="s">
        <v>579</v>
      </c>
    </row>
    <row r="302" spans="1:22" s="30" customFormat="1" ht="12.75">
      <c r="A302" s="24">
        <f>IF(OR(B302="Y",B302="M"),K302,"")</f>
      </c>
      <c r="B302" s="24" t="s">
        <v>52</v>
      </c>
      <c r="C302" s="29">
        <f>IF(G302="","--",(L302-Sta+Int)/2)</f>
        <v>1.5</v>
      </c>
      <c r="D302" s="29">
        <f>IF(AND(K302&lt;&gt;"",K302&lt;&gt;"G"),K302-C302,"--")</f>
        <v>18.5</v>
      </c>
      <c r="E302" s="29">
        <f>IF(AND(K302&lt;&gt;"",K302&lt;&gt;"G"),K302-L302,"--")</f>
        <v>19</v>
      </c>
      <c r="F302" s="28" t="s">
        <v>458</v>
      </c>
      <c r="G302" s="26" t="s">
        <v>29</v>
      </c>
      <c r="H302" s="26" t="s">
        <v>26</v>
      </c>
      <c r="I302" s="52" t="s">
        <v>54</v>
      </c>
      <c r="J302" s="52" t="s">
        <v>54</v>
      </c>
      <c r="K302" s="27">
        <f>IF(R302="G","G",IF(R302&gt;=5,R302+U302*5,IF((R302+U302)&lt;=5,(R302+U302),(5+5*(R302+U302-5)))))</f>
        <v>20</v>
      </c>
      <c r="L302" s="29">
        <f ca="1">IF(G302="","--",IF(I302="",INDIRECT(G302),MIN(INDIRECT(G302),INDIRECT(LEFT(I302,2)),INDIRECT(RIGHT(I302,2))))+IF(J302="",INDIRECT(H302),MIN(INDIRECT(H302),INDIRECT(LEFT(J302,2)),INDIRECT(RIGHT(J302,2))))+Sta+IF(M302="",0,$G$2))</f>
        <v>1</v>
      </c>
      <c r="M302" s="29"/>
      <c r="N302" s="28" t="s">
        <v>59</v>
      </c>
      <c r="O302" s="28" t="s">
        <v>76</v>
      </c>
      <c r="P302" s="28" t="s">
        <v>55</v>
      </c>
      <c r="Q302" s="34" t="s">
        <v>62</v>
      </c>
      <c r="R302" s="28">
        <v>15</v>
      </c>
      <c r="S302" s="29">
        <v>0</v>
      </c>
      <c r="T302" s="29">
        <v>0</v>
      </c>
      <c r="U302" s="29">
        <f>S302+T302+VLOOKUP(N302,Ranges,2,FALSE)+VLOOKUP(O302,Durations,2,FALSE)+VLOOKUP(P302,Targets,2,FALSE)</f>
        <v>1</v>
      </c>
      <c r="V302" s="31" t="s">
        <v>580</v>
      </c>
    </row>
    <row r="303" spans="1:22" s="30" customFormat="1" ht="12.75">
      <c r="A303" s="24">
        <f t="shared" si="36"/>
      </c>
      <c r="B303" s="24" t="s">
        <v>52</v>
      </c>
      <c r="C303" s="29">
        <f t="shared" si="37"/>
        <v>1.5</v>
      </c>
      <c r="D303" s="29">
        <f t="shared" si="38"/>
        <v>23.5</v>
      </c>
      <c r="E303" s="29">
        <f t="shared" si="39"/>
        <v>24</v>
      </c>
      <c r="F303" s="28" t="s">
        <v>337</v>
      </c>
      <c r="G303" s="26" t="s">
        <v>29</v>
      </c>
      <c r="H303" s="26" t="s">
        <v>26</v>
      </c>
      <c r="I303" s="52" t="s">
        <v>54</v>
      </c>
      <c r="J303" s="52" t="s">
        <v>54</v>
      </c>
      <c r="K303" s="27">
        <f t="shared" si="42"/>
        <v>25</v>
      </c>
      <c r="L303" s="29">
        <f ca="1" t="shared" si="40"/>
        <v>1</v>
      </c>
      <c r="M303" s="29"/>
      <c r="N303" s="28" t="s">
        <v>426</v>
      </c>
      <c r="O303" s="28" t="s">
        <v>94</v>
      </c>
      <c r="P303" s="28" t="s">
        <v>55</v>
      </c>
      <c r="Q303" s="34"/>
      <c r="R303" s="28">
        <v>3</v>
      </c>
      <c r="S303" s="29">
        <v>2</v>
      </c>
      <c r="T303" s="29">
        <v>0</v>
      </c>
      <c r="U303" s="29">
        <f t="shared" si="41"/>
        <v>6</v>
      </c>
      <c r="V303" s="31" t="s">
        <v>581</v>
      </c>
    </row>
    <row r="304" spans="1:22" s="30" customFormat="1" ht="12.75">
      <c r="A304" s="24">
        <f t="shared" si="36"/>
      </c>
      <c r="B304" s="24" t="s">
        <v>52</v>
      </c>
      <c r="C304" s="29">
        <f t="shared" si="37"/>
        <v>1.5</v>
      </c>
      <c r="D304" s="29">
        <f t="shared" si="38"/>
        <v>33.5</v>
      </c>
      <c r="E304" s="29">
        <f t="shared" si="39"/>
        <v>34</v>
      </c>
      <c r="F304" s="28" t="s">
        <v>338</v>
      </c>
      <c r="G304" s="26" t="s">
        <v>29</v>
      </c>
      <c r="H304" s="26" t="s">
        <v>26</v>
      </c>
      <c r="I304" s="52" t="s">
        <v>54</v>
      </c>
      <c r="J304" s="52" t="s">
        <v>54</v>
      </c>
      <c r="K304" s="27">
        <f t="shared" si="42"/>
        <v>35</v>
      </c>
      <c r="L304" s="29">
        <f ca="1" t="shared" si="40"/>
        <v>1</v>
      </c>
      <c r="M304" s="29"/>
      <c r="N304" s="28" t="s">
        <v>59</v>
      </c>
      <c r="O304" s="28" t="s">
        <v>76</v>
      </c>
      <c r="P304" s="28" t="s">
        <v>55</v>
      </c>
      <c r="Q304" s="34" t="s">
        <v>62</v>
      </c>
      <c r="R304" s="28">
        <v>3</v>
      </c>
      <c r="S304" s="29">
        <v>4</v>
      </c>
      <c r="T304" s="29">
        <v>3</v>
      </c>
      <c r="U304" s="29">
        <f t="shared" si="41"/>
        <v>8</v>
      </c>
      <c r="V304" s="31" t="s">
        <v>582</v>
      </c>
    </row>
    <row r="305" spans="1:22" s="30" customFormat="1" ht="12.75">
      <c r="A305" s="24">
        <f t="shared" si="36"/>
      </c>
      <c r="B305" s="24" t="s">
        <v>52</v>
      </c>
      <c r="C305" s="29">
        <f t="shared" si="37"/>
        <v>1.5</v>
      </c>
      <c r="D305" s="29">
        <f t="shared" si="38"/>
        <v>2.5</v>
      </c>
      <c r="E305" s="29">
        <f t="shared" si="39"/>
        <v>3</v>
      </c>
      <c r="F305" s="28" t="s">
        <v>339</v>
      </c>
      <c r="G305" s="26" t="s">
        <v>30</v>
      </c>
      <c r="H305" s="26" t="s">
        <v>26</v>
      </c>
      <c r="I305" s="52" t="s">
        <v>54</v>
      </c>
      <c r="J305" s="52" t="s">
        <v>54</v>
      </c>
      <c r="K305" s="27">
        <f t="shared" si="42"/>
        <v>4</v>
      </c>
      <c r="L305" s="29">
        <f ca="1" t="shared" si="40"/>
        <v>1</v>
      </c>
      <c r="M305" s="29"/>
      <c r="N305" s="28" t="s">
        <v>93</v>
      </c>
      <c r="O305" s="28" t="s">
        <v>76</v>
      </c>
      <c r="P305" s="28" t="s">
        <v>430</v>
      </c>
      <c r="Q305" s="34"/>
      <c r="R305" s="28">
        <v>2</v>
      </c>
      <c r="S305" s="29">
        <v>0</v>
      </c>
      <c r="T305" s="29">
        <v>0</v>
      </c>
      <c r="U305" s="29">
        <f t="shared" si="41"/>
        <v>2</v>
      </c>
      <c r="V305" s="31"/>
    </row>
    <row r="306" spans="1:22" s="30" customFormat="1" ht="12.75">
      <c r="A306" s="24">
        <f t="shared" si="36"/>
      </c>
      <c r="B306" s="24" t="s">
        <v>52</v>
      </c>
      <c r="C306" s="29">
        <f t="shared" si="37"/>
        <v>1.5</v>
      </c>
      <c r="D306" s="29">
        <f t="shared" si="38"/>
        <v>8.5</v>
      </c>
      <c r="E306" s="29">
        <f t="shared" si="39"/>
        <v>9</v>
      </c>
      <c r="F306" s="28" t="s">
        <v>340</v>
      </c>
      <c r="G306" s="26" t="s">
        <v>30</v>
      </c>
      <c r="H306" s="26" t="s">
        <v>26</v>
      </c>
      <c r="I306" s="52" t="s">
        <v>54</v>
      </c>
      <c r="J306" s="52" t="s">
        <v>54</v>
      </c>
      <c r="K306" s="27">
        <f t="shared" si="42"/>
        <v>10</v>
      </c>
      <c r="L306" s="29">
        <f ca="1" t="shared" si="40"/>
        <v>1</v>
      </c>
      <c r="M306" s="29"/>
      <c r="N306" s="28" t="s">
        <v>426</v>
      </c>
      <c r="O306" s="28" t="s">
        <v>76</v>
      </c>
      <c r="P306" s="28" t="s">
        <v>55</v>
      </c>
      <c r="Q306" s="34"/>
      <c r="R306" s="28">
        <v>4</v>
      </c>
      <c r="S306" s="29">
        <v>0</v>
      </c>
      <c r="T306" s="29">
        <v>0</v>
      </c>
      <c r="U306" s="29">
        <f t="shared" si="41"/>
        <v>2</v>
      </c>
      <c r="V306" s="31" t="s">
        <v>583</v>
      </c>
    </row>
    <row r="307" spans="1:22" s="30" customFormat="1" ht="12.75">
      <c r="A307" s="24">
        <f t="shared" si="36"/>
      </c>
      <c r="B307" s="24" t="s">
        <v>52</v>
      </c>
      <c r="C307" s="29">
        <f t="shared" si="37"/>
        <v>1.5</v>
      </c>
      <c r="D307" s="29">
        <f t="shared" si="38"/>
        <v>13.5</v>
      </c>
      <c r="E307" s="29">
        <f t="shared" si="39"/>
        <v>14</v>
      </c>
      <c r="F307" s="28" t="s">
        <v>341</v>
      </c>
      <c r="G307" s="26" t="s">
        <v>30</v>
      </c>
      <c r="H307" s="26" t="s">
        <v>26</v>
      </c>
      <c r="I307" s="52" t="s">
        <v>54</v>
      </c>
      <c r="J307" s="52" t="s">
        <v>54</v>
      </c>
      <c r="K307" s="27">
        <f t="shared" si="42"/>
        <v>15</v>
      </c>
      <c r="L307" s="29">
        <f ca="1" t="shared" si="40"/>
        <v>1</v>
      </c>
      <c r="M307" s="29"/>
      <c r="N307" s="28" t="s">
        <v>93</v>
      </c>
      <c r="O307" s="28" t="s">
        <v>66</v>
      </c>
      <c r="P307" s="28" t="s">
        <v>431</v>
      </c>
      <c r="Q307" s="34"/>
      <c r="R307" s="28">
        <v>2</v>
      </c>
      <c r="S307" s="29">
        <v>0</v>
      </c>
      <c r="T307" s="29">
        <v>0</v>
      </c>
      <c r="U307" s="29">
        <f t="shared" si="41"/>
        <v>5</v>
      </c>
      <c r="V307" s="31"/>
    </row>
    <row r="308" spans="1:22" s="30" customFormat="1" ht="12.75">
      <c r="A308" s="24">
        <f t="shared" si="36"/>
      </c>
      <c r="B308" s="24" t="s">
        <v>52</v>
      </c>
      <c r="C308" s="29">
        <f t="shared" si="37"/>
        <v>1.5</v>
      </c>
      <c r="D308" s="29">
        <f t="shared" si="38"/>
        <v>18.5</v>
      </c>
      <c r="E308" s="29">
        <f t="shared" si="39"/>
        <v>19</v>
      </c>
      <c r="F308" s="28" t="s">
        <v>342</v>
      </c>
      <c r="G308" s="26" t="s">
        <v>30</v>
      </c>
      <c r="H308" s="26" t="s">
        <v>26</v>
      </c>
      <c r="I308" s="52" t="s">
        <v>54</v>
      </c>
      <c r="J308" s="52" t="s">
        <v>54</v>
      </c>
      <c r="K308" s="27">
        <f t="shared" si="42"/>
        <v>20</v>
      </c>
      <c r="L308" s="29">
        <f ca="1" t="shared" si="40"/>
        <v>1</v>
      </c>
      <c r="M308" s="29"/>
      <c r="N308" s="28" t="s">
        <v>93</v>
      </c>
      <c r="O308" s="28" t="s">
        <v>66</v>
      </c>
      <c r="P308" s="28" t="s">
        <v>431</v>
      </c>
      <c r="Q308" s="34"/>
      <c r="R308" s="28">
        <v>2</v>
      </c>
      <c r="S308" s="29">
        <v>0</v>
      </c>
      <c r="T308" s="29">
        <v>1</v>
      </c>
      <c r="U308" s="29">
        <f t="shared" si="41"/>
        <v>6</v>
      </c>
      <c r="V308" s="31" t="s">
        <v>584</v>
      </c>
    </row>
    <row r="309" spans="1:22" s="30" customFormat="1" ht="12.75">
      <c r="A309" s="24">
        <f t="shared" si="36"/>
      </c>
      <c r="B309" s="24" t="s">
        <v>52</v>
      </c>
      <c r="C309" s="29">
        <f t="shared" si="37"/>
        <v>1.5</v>
      </c>
      <c r="D309" s="29">
        <f t="shared" si="38"/>
        <v>23.5</v>
      </c>
      <c r="E309" s="29">
        <f t="shared" si="39"/>
        <v>24</v>
      </c>
      <c r="F309" s="28" t="s">
        <v>343</v>
      </c>
      <c r="G309" s="26" t="s">
        <v>30</v>
      </c>
      <c r="H309" s="26" t="s">
        <v>26</v>
      </c>
      <c r="I309" s="52" t="s">
        <v>54</v>
      </c>
      <c r="J309" s="52" t="s">
        <v>54</v>
      </c>
      <c r="K309" s="27">
        <f t="shared" si="42"/>
        <v>25</v>
      </c>
      <c r="L309" s="29">
        <f ca="1" t="shared" si="40"/>
        <v>1</v>
      </c>
      <c r="M309" s="29"/>
      <c r="N309" s="28" t="s">
        <v>93</v>
      </c>
      <c r="O309" s="28" t="s">
        <v>66</v>
      </c>
      <c r="P309" s="28" t="s">
        <v>431</v>
      </c>
      <c r="Q309" s="34"/>
      <c r="R309" s="28">
        <v>4</v>
      </c>
      <c r="S309" s="29">
        <v>0</v>
      </c>
      <c r="T309" s="29">
        <v>0</v>
      </c>
      <c r="U309" s="29">
        <f t="shared" si="41"/>
        <v>5</v>
      </c>
      <c r="V309" s="31" t="s">
        <v>512</v>
      </c>
    </row>
    <row r="310" spans="1:22" s="30" customFormat="1" ht="12.75">
      <c r="A310" s="24">
        <f>IF(OR(B310="Y",B310="M"),K310,"")</f>
      </c>
      <c r="B310" s="24" t="s">
        <v>52</v>
      </c>
      <c r="C310" s="29">
        <f>IF(G310="","--",(L310-Sta+Int)/2)</f>
        <v>1.5</v>
      </c>
      <c r="D310" s="29">
        <f>IF(AND(K310&lt;&gt;"",K310&lt;&gt;"G"),K310-C310,"--")</f>
        <v>28.5</v>
      </c>
      <c r="E310" s="29">
        <f>IF(AND(K310&lt;&gt;"",K310&lt;&gt;"G"),K310-L310,"--")</f>
        <v>29</v>
      </c>
      <c r="F310" s="28" t="s">
        <v>345</v>
      </c>
      <c r="G310" s="26" t="s">
        <v>30</v>
      </c>
      <c r="H310" s="26" t="s">
        <v>26</v>
      </c>
      <c r="I310" s="52" t="s">
        <v>54</v>
      </c>
      <c r="J310" s="52" t="s">
        <v>54</v>
      </c>
      <c r="K310" s="27">
        <f>IF(R310="G","G",IF(R310&gt;=5,R310+U310*5,IF((R310+U310)&lt;=5,(R310+U310),(5+5*(R310+U310-5)))))</f>
        <v>30</v>
      </c>
      <c r="L310" s="29">
        <f ca="1">IF(G310="","--",IF(I310="",INDIRECT(G310),MIN(INDIRECT(G310),INDIRECT(LEFT(I310,2)),INDIRECT(RIGHT(I310,2))))+IF(J310="",INDIRECT(H310),MIN(INDIRECT(H310),INDIRECT(LEFT(J310,2)),INDIRECT(RIGHT(J310,2))))+Sta+IF(M310="",0,$G$2))</f>
        <v>1</v>
      </c>
      <c r="M310" s="29"/>
      <c r="N310" s="28" t="s">
        <v>59</v>
      </c>
      <c r="O310" s="28" t="s">
        <v>66</v>
      </c>
      <c r="P310" s="28" t="s">
        <v>55</v>
      </c>
      <c r="Q310" s="34"/>
      <c r="R310" s="28">
        <v>20</v>
      </c>
      <c r="S310" s="29">
        <v>0</v>
      </c>
      <c r="T310" s="29">
        <v>0</v>
      </c>
      <c r="U310" s="29">
        <f>S310+T310+VLOOKUP(N310,Ranges,2,FALSE)+VLOOKUP(O310,Durations,2,FALSE)+VLOOKUP(P310,Targets,2,FALSE)</f>
        <v>2</v>
      </c>
      <c r="V310" s="31"/>
    </row>
    <row r="311" spans="1:22" s="30" customFormat="1" ht="12.75">
      <c r="A311" s="24">
        <f t="shared" si="36"/>
      </c>
      <c r="B311" s="24" t="s">
        <v>52</v>
      </c>
      <c r="C311" s="29">
        <f t="shared" si="37"/>
        <v>1.5</v>
      </c>
      <c r="D311" s="29">
        <f t="shared" si="38"/>
        <v>28.5</v>
      </c>
      <c r="E311" s="29">
        <f t="shared" si="39"/>
        <v>29</v>
      </c>
      <c r="F311" s="28" t="s">
        <v>344</v>
      </c>
      <c r="G311" s="26" t="s">
        <v>30</v>
      </c>
      <c r="H311" s="26" t="s">
        <v>26</v>
      </c>
      <c r="I311" s="52" t="s">
        <v>54</v>
      </c>
      <c r="J311" s="52" t="s">
        <v>54</v>
      </c>
      <c r="K311" s="27">
        <f t="shared" si="42"/>
        <v>30</v>
      </c>
      <c r="L311" s="29">
        <f ca="1" t="shared" si="40"/>
        <v>1</v>
      </c>
      <c r="M311" s="29"/>
      <c r="N311" s="28" t="s">
        <v>59</v>
      </c>
      <c r="O311" s="28" t="s">
        <v>66</v>
      </c>
      <c r="P311" s="28" t="s">
        <v>422</v>
      </c>
      <c r="Q311" s="34"/>
      <c r="R311" s="28">
        <v>4</v>
      </c>
      <c r="S311" s="29">
        <v>3</v>
      </c>
      <c r="T311" s="29">
        <v>0</v>
      </c>
      <c r="U311" s="29">
        <f t="shared" si="41"/>
        <v>6</v>
      </c>
      <c r="V311" s="31"/>
    </row>
    <row r="312" spans="1:22" s="30" customFormat="1" ht="12.75">
      <c r="A312" s="24">
        <f>IF(OR(B312="Y",B312="M"),K312,"")</f>
      </c>
      <c r="B312" s="24" t="s">
        <v>52</v>
      </c>
      <c r="C312" s="29">
        <f>IF(G312="","--",(L312-Sta+Int)/2)</f>
        <v>1.5</v>
      </c>
      <c r="D312" s="29">
        <f>IF(AND(K312&lt;&gt;"",K312&lt;&gt;"G"),K312-C312,"--")</f>
        <v>8.5</v>
      </c>
      <c r="E312" s="29">
        <f>IF(AND(K312&lt;&gt;"",K312&lt;&gt;"G"),K312-L312,"--")</f>
        <v>9</v>
      </c>
      <c r="F312" s="28" t="s">
        <v>349</v>
      </c>
      <c r="G312" s="26" t="s">
        <v>32</v>
      </c>
      <c r="H312" s="26" t="s">
        <v>26</v>
      </c>
      <c r="I312" s="52" t="s">
        <v>35</v>
      </c>
      <c r="J312" s="52" t="s">
        <v>54</v>
      </c>
      <c r="K312" s="27">
        <f>IF(R312="G","G",IF(R312&gt;=5,R312+U312*5,IF((R312+U312)&lt;=5,(R312+U312),(5+5*(R312+U312-5)))))</f>
        <v>10</v>
      </c>
      <c r="L312" s="29">
        <f ca="1">IF(G312="","--",IF(I312="",INDIRECT(G312),MIN(INDIRECT(G312),INDIRECT(LEFT(I312,2)),INDIRECT(RIGHT(I312,2))))+IF(J312="",INDIRECT(H312),MIN(INDIRECT(H312),INDIRECT(LEFT(J312,2)),INDIRECT(RIGHT(J312,2))))+Sta+IF(M312="",0,$G$2))</f>
        <v>1</v>
      </c>
      <c r="M312" s="29"/>
      <c r="N312" s="28" t="s">
        <v>426</v>
      </c>
      <c r="O312" s="28" t="s">
        <v>76</v>
      </c>
      <c r="P312" s="28" t="s">
        <v>55</v>
      </c>
      <c r="Q312" s="34"/>
      <c r="R312" s="28">
        <v>3</v>
      </c>
      <c r="S312" s="29">
        <v>0</v>
      </c>
      <c r="T312" s="29">
        <v>1</v>
      </c>
      <c r="U312" s="29">
        <f>S312+T312+VLOOKUP(N312,Ranges,2,FALSE)+VLOOKUP(O312,Durations,2,FALSE)+VLOOKUP(P312,Targets,2,FALSE)</f>
        <v>3</v>
      </c>
      <c r="V312" s="94" t="s">
        <v>485</v>
      </c>
    </row>
    <row r="313" spans="1:22" s="30" customFormat="1" ht="12.75">
      <c r="A313" s="24">
        <f t="shared" si="36"/>
      </c>
      <c r="B313" s="24" t="s">
        <v>52</v>
      </c>
      <c r="C313" s="29">
        <f t="shared" si="37"/>
        <v>1.5</v>
      </c>
      <c r="D313" s="29">
        <f t="shared" si="38"/>
        <v>8.5</v>
      </c>
      <c r="E313" s="29">
        <f t="shared" si="39"/>
        <v>9</v>
      </c>
      <c r="F313" s="28" t="s">
        <v>346</v>
      </c>
      <c r="G313" s="26" t="s">
        <v>32</v>
      </c>
      <c r="H313" s="26" t="s">
        <v>26</v>
      </c>
      <c r="I313" s="52" t="s">
        <v>54</v>
      </c>
      <c r="J313" s="52" t="s">
        <v>54</v>
      </c>
      <c r="K313" s="27">
        <f t="shared" si="42"/>
        <v>10</v>
      </c>
      <c r="L313" s="29">
        <f ca="1" t="shared" si="40"/>
        <v>1</v>
      </c>
      <c r="M313" s="29"/>
      <c r="N313" s="28" t="s">
        <v>59</v>
      </c>
      <c r="O313" s="28" t="s">
        <v>94</v>
      </c>
      <c r="P313" s="28" t="s">
        <v>55</v>
      </c>
      <c r="Q313" s="34"/>
      <c r="R313" s="28">
        <v>3</v>
      </c>
      <c r="S313" s="29">
        <v>0</v>
      </c>
      <c r="T313" s="29">
        <v>0</v>
      </c>
      <c r="U313" s="29">
        <f t="shared" si="41"/>
        <v>3</v>
      </c>
      <c r="V313" s="31"/>
    </row>
    <row r="314" spans="1:22" s="30" customFormat="1" ht="12.75">
      <c r="A314" s="24">
        <f>IF(OR(B314="Y",B314="M"),K314,"")</f>
      </c>
      <c r="B314" s="24" t="s">
        <v>52</v>
      </c>
      <c r="C314" s="29">
        <f>IF(G314="","--",(L314-Sta+Int)/2)</f>
        <v>1.5</v>
      </c>
      <c r="D314" s="29">
        <f>IF(AND(K314&lt;&gt;"",K314&lt;&gt;"G"),K314-C314,"--")</f>
        <v>8.5</v>
      </c>
      <c r="E314" s="29">
        <f>IF(AND(K314&lt;&gt;"",K314&lt;&gt;"G"),K314-L314,"--")</f>
        <v>9</v>
      </c>
      <c r="F314" s="28" t="s">
        <v>348</v>
      </c>
      <c r="G314" s="26" t="s">
        <v>32</v>
      </c>
      <c r="H314" s="26" t="s">
        <v>26</v>
      </c>
      <c r="I314" s="52" t="s">
        <v>54</v>
      </c>
      <c r="J314" s="52" t="s">
        <v>54</v>
      </c>
      <c r="K314" s="27">
        <f>IF(R314="G","G",IF(R314&gt;=5,R314+U314*5,IF((R314+U314)&lt;=5,(R314+U314),(5+5*(R314+U314-5)))))</f>
        <v>10</v>
      </c>
      <c r="L314" s="29">
        <f ca="1">IF(G314="","--",IF(I314="",INDIRECT(G314),MIN(INDIRECT(G314),INDIRECT(LEFT(I314,2)),INDIRECT(RIGHT(I314,2))))+IF(J314="",INDIRECT(H314),MIN(INDIRECT(H314),INDIRECT(LEFT(J314,2)),INDIRECT(RIGHT(J314,2))))+Sta+IF(M314="",0,$G$2))</f>
        <v>1</v>
      </c>
      <c r="M314" s="29"/>
      <c r="N314" s="28" t="s">
        <v>59</v>
      </c>
      <c r="O314" s="28" t="s">
        <v>94</v>
      </c>
      <c r="P314" s="28" t="s">
        <v>55</v>
      </c>
      <c r="Q314" s="34"/>
      <c r="R314" s="28">
        <v>3</v>
      </c>
      <c r="S314" s="29">
        <v>0</v>
      </c>
      <c r="T314" s="29">
        <v>0</v>
      </c>
      <c r="U314" s="29">
        <f>S314+T314+VLOOKUP(N314,Ranges,2,FALSE)+VLOOKUP(O314,Durations,2,FALSE)+VLOOKUP(P314,Targets,2,FALSE)</f>
        <v>3</v>
      </c>
      <c r="V314" s="31"/>
    </row>
    <row r="315" spans="1:22" s="30" customFormat="1" ht="12.75">
      <c r="A315" s="24">
        <f>IF(OR(B315="Y",B315="M"),K315,"")</f>
      </c>
      <c r="B315" s="24" t="s">
        <v>52</v>
      </c>
      <c r="C315" s="29">
        <f>IF(G315="","--",(L315-Sta+Int)/2)</f>
        <v>1.5</v>
      </c>
      <c r="D315" s="29">
        <f>IF(AND(K315&lt;&gt;"",K315&lt;&gt;"G"),K315-C315,"--")</f>
        <v>13.5</v>
      </c>
      <c r="E315" s="29">
        <f>IF(AND(K315&lt;&gt;"",K315&lt;&gt;"G"),K315-L315,"--")</f>
        <v>14</v>
      </c>
      <c r="F315" s="28" t="s">
        <v>350</v>
      </c>
      <c r="G315" s="26" t="s">
        <v>32</v>
      </c>
      <c r="H315" s="26" t="s">
        <v>26</v>
      </c>
      <c r="I315" s="52" t="s">
        <v>54</v>
      </c>
      <c r="J315" s="52" t="s">
        <v>54</v>
      </c>
      <c r="K315" s="27">
        <f>IF(R315="G","G",IF(R315&gt;=5,R315+U315*5,IF((R315+U315)&lt;=5,(R315+U315),(5+5*(R315+U315-5)))))</f>
        <v>15</v>
      </c>
      <c r="L315" s="29">
        <f ca="1">IF(G315="","--",IF(I315="",INDIRECT(G315),MIN(INDIRECT(G315),INDIRECT(LEFT(I315,2)),INDIRECT(RIGHT(I315,2))))+IF(J315="",INDIRECT(H315),MIN(INDIRECT(H315),INDIRECT(LEFT(J315,2)),INDIRECT(RIGHT(J315,2))))+Sta+IF(M315="",0,$G$2))</f>
        <v>1</v>
      </c>
      <c r="M315" s="29"/>
      <c r="N315" s="28" t="s">
        <v>59</v>
      </c>
      <c r="O315" s="28" t="s">
        <v>94</v>
      </c>
      <c r="P315" s="28" t="s">
        <v>422</v>
      </c>
      <c r="Q315" s="34"/>
      <c r="R315" s="28">
        <v>3</v>
      </c>
      <c r="S315" s="29">
        <v>0</v>
      </c>
      <c r="T315" s="29">
        <v>0</v>
      </c>
      <c r="U315" s="29">
        <f>S315+T315+VLOOKUP(N315,Ranges,2,FALSE)+VLOOKUP(O315,Durations,2,FALSE)+VLOOKUP(P315,Targets,2,FALSE)</f>
        <v>4</v>
      </c>
      <c r="V315" s="31"/>
    </row>
    <row r="316" spans="1:22" s="30" customFormat="1" ht="12.75">
      <c r="A316" s="24">
        <f>IF(OR(B316="Y",B316="M"),K316,"")</f>
      </c>
      <c r="B316" s="24" t="s">
        <v>52</v>
      </c>
      <c r="C316" s="29">
        <f>IF(G316="","--",(L316-Sta+Int)/2)</f>
        <v>1.5</v>
      </c>
      <c r="D316" s="29">
        <f>IF(AND(K316&lt;&gt;"",K316&lt;&gt;"G"),K316-C316,"--")</f>
        <v>18.5</v>
      </c>
      <c r="E316" s="29">
        <f>IF(AND(K316&lt;&gt;"",K316&lt;&gt;"G"),K316-L316,"--")</f>
        <v>19</v>
      </c>
      <c r="F316" s="28" t="s">
        <v>347</v>
      </c>
      <c r="G316" s="26" t="s">
        <v>32</v>
      </c>
      <c r="H316" s="26" t="s">
        <v>26</v>
      </c>
      <c r="I316" s="52" t="s">
        <v>54</v>
      </c>
      <c r="J316" s="52" t="s">
        <v>54</v>
      </c>
      <c r="K316" s="27">
        <f>IF(R316="G","G",IF(R316&gt;=5,R316+U316*5,IF((R316+U316)&lt;=5,(R316+U316),(5+5*(R316+U316-5)))))</f>
        <v>20</v>
      </c>
      <c r="L316" s="29">
        <f ca="1">IF(G316="","--",IF(I316="",INDIRECT(G316),MIN(INDIRECT(G316),INDIRECT(LEFT(I316,2)),INDIRECT(RIGHT(I316,2))))+IF(J316="",INDIRECT(H316),MIN(INDIRECT(H316),INDIRECT(LEFT(J316,2)),INDIRECT(RIGHT(J316,2))))+Sta+IF(M316="",0,$G$2))</f>
        <v>1</v>
      </c>
      <c r="M316" s="29"/>
      <c r="N316" s="28" t="s">
        <v>59</v>
      </c>
      <c r="O316" s="28" t="s">
        <v>94</v>
      </c>
      <c r="P316" s="28" t="s">
        <v>55</v>
      </c>
      <c r="Q316" s="34"/>
      <c r="R316" s="28">
        <v>3</v>
      </c>
      <c r="S316" s="29">
        <v>0</v>
      </c>
      <c r="T316" s="29">
        <v>2</v>
      </c>
      <c r="U316" s="29">
        <f>S316+T316+VLOOKUP(N316,Ranges,2,FALSE)+VLOOKUP(O316,Durations,2,FALSE)+VLOOKUP(P316,Targets,2,FALSE)</f>
        <v>5</v>
      </c>
      <c r="V316" s="94" t="s">
        <v>585</v>
      </c>
    </row>
    <row r="317" spans="1:22" s="30" customFormat="1" ht="12.75">
      <c r="A317" s="24">
        <f>IF(OR(B317="Y",B317="M"),K317,"")</f>
      </c>
      <c r="B317" s="24" t="s">
        <v>52</v>
      </c>
      <c r="C317" s="29">
        <f>IF(G317="","--",(L317-Sta+Int)/2)</f>
        <v>1.5</v>
      </c>
      <c r="D317" s="29">
        <f>IF(AND(K317&lt;&gt;"",K317&lt;&gt;"G"),K317-C317,"--")</f>
        <v>18.5</v>
      </c>
      <c r="E317" s="29">
        <f>IF(AND(K317&lt;&gt;"",K317&lt;&gt;"G"),K317-L317,"--")</f>
        <v>19</v>
      </c>
      <c r="F317" s="28" t="s">
        <v>353</v>
      </c>
      <c r="G317" s="26" t="s">
        <v>32</v>
      </c>
      <c r="H317" s="26" t="s">
        <v>26</v>
      </c>
      <c r="I317" s="52" t="s">
        <v>54</v>
      </c>
      <c r="J317" s="52" t="s">
        <v>54</v>
      </c>
      <c r="K317" s="27">
        <f>IF(R317="G","G",IF(R317&gt;=5,R317+U317*5,IF((R317+U317)&lt;=5,(R317+U317),(5+5*(R317+U317-5)))))</f>
        <v>20</v>
      </c>
      <c r="L317" s="29">
        <f ca="1">IF(G317="","--",IF(I317="",INDIRECT(G317),MIN(INDIRECT(G317),INDIRECT(LEFT(I317,2)),INDIRECT(RIGHT(I317,2))))+IF(J317="",INDIRECT(H317),MIN(INDIRECT(H317),INDIRECT(LEFT(J317,2)),INDIRECT(RIGHT(J317,2))))+Sta+IF(M317="",0,$G$2))</f>
        <v>1</v>
      </c>
      <c r="M317" s="29"/>
      <c r="N317" s="28" t="s">
        <v>59</v>
      </c>
      <c r="O317" s="28" t="s">
        <v>94</v>
      </c>
      <c r="P317" s="28" t="s">
        <v>422</v>
      </c>
      <c r="Q317" s="34"/>
      <c r="R317" s="28">
        <v>3</v>
      </c>
      <c r="S317" s="29">
        <v>1</v>
      </c>
      <c r="T317" s="29">
        <v>0</v>
      </c>
      <c r="U317" s="29">
        <f>S317+T317+VLOOKUP(N317,Ranges,2,FALSE)+VLOOKUP(O317,Durations,2,FALSE)+VLOOKUP(P317,Targets,2,FALSE)</f>
        <v>5</v>
      </c>
      <c r="V317" s="31" t="s">
        <v>586</v>
      </c>
    </row>
    <row r="318" spans="1:22" s="30" customFormat="1" ht="12.75">
      <c r="A318" s="24">
        <f>IF(OR(B318="Y",B318="M"),K318,"")</f>
      </c>
      <c r="B318" s="24" t="s">
        <v>52</v>
      </c>
      <c r="C318" s="29">
        <f>IF(G318="","--",(L318-Sta+Int)/2)</f>
        <v>1.5</v>
      </c>
      <c r="D318" s="29">
        <f>IF(AND(K318&lt;&gt;"",K318&lt;&gt;"G"),K318-C318,"--")</f>
        <v>33.5</v>
      </c>
      <c r="E318" s="29">
        <f>IF(AND(K318&lt;&gt;"",K318&lt;&gt;"G"),K318-L318,"--")</f>
        <v>34</v>
      </c>
      <c r="F318" s="28" t="s">
        <v>354</v>
      </c>
      <c r="G318" s="26" t="s">
        <v>32</v>
      </c>
      <c r="H318" s="26" t="s">
        <v>26</v>
      </c>
      <c r="I318" s="52"/>
      <c r="J318" s="52" t="s">
        <v>54</v>
      </c>
      <c r="K318" s="27">
        <f>IF(R318="G","G",IF(R318&gt;=5,R318+U318*5,IF((R318+U318)&lt;=5,(R318+U318),(5+5*(R318+U318-5)))))</f>
        <v>35</v>
      </c>
      <c r="L318" s="29">
        <f ca="1">IF(G318="","--",IF(I318="",INDIRECT(G318),MIN(INDIRECT(G318),INDIRECT(LEFT(I318,2)),INDIRECT(RIGHT(I318,2))))+IF(J318="",INDIRECT(H318),MIN(INDIRECT(H318),INDIRECT(LEFT(J318,2)),INDIRECT(RIGHT(J318,2))))+Sta+IF(M318="",0,$G$2))</f>
        <v>1</v>
      </c>
      <c r="M318" s="29"/>
      <c r="N318" s="28" t="s">
        <v>426</v>
      </c>
      <c r="O318" s="28" t="s">
        <v>94</v>
      </c>
      <c r="P318" s="28" t="s">
        <v>85</v>
      </c>
      <c r="Q318" s="34"/>
      <c r="R318" s="28">
        <v>3</v>
      </c>
      <c r="S318" s="29">
        <v>0</v>
      </c>
      <c r="T318" s="29">
        <v>2</v>
      </c>
      <c r="U318" s="29">
        <f>S318+T318+VLOOKUP(N318,Ranges,2,FALSE)+VLOOKUP(O318,Durations,2,FALSE)+VLOOKUP(P318,Targets,2,FALSE)</f>
        <v>8</v>
      </c>
      <c r="V318" s="94" t="s">
        <v>587</v>
      </c>
    </row>
    <row r="319" spans="1:22" s="30" customFormat="1" ht="12.75">
      <c r="A319" s="24">
        <f t="shared" si="36"/>
      </c>
      <c r="B319" s="24" t="s">
        <v>52</v>
      </c>
      <c r="C319" s="29">
        <f t="shared" si="37"/>
        <v>1.5</v>
      </c>
      <c r="D319" s="29">
        <f t="shared" si="38"/>
        <v>8.5</v>
      </c>
      <c r="E319" s="29">
        <f t="shared" si="39"/>
        <v>9</v>
      </c>
      <c r="F319" s="28" t="s">
        <v>355</v>
      </c>
      <c r="G319" s="26" t="s">
        <v>33</v>
      </c>
      <c r="H319" s="26" t="s">
        <v>26</v>
      </c>
      <c r="I319" s="52" t="s">
        <v>54</v>
      </c>
      <c r="J319" s="52" t="s">
        <v>54</v>
      </c>
      <c r="K319" s="27">
        <f t="shared" si="42"/>
        <v>10</v>
      </c>
      <c r="L319" s="29">
        <f ca="1" t="shared" si="40"/>
        <v>1</v>
      </c>
      <c r="M319" s="29"/>
      <c r="N319" s="28" t="s">
        <v>426</v>
      </c>
      <c r="O319" s="28" t="s">
        <v>76</v>
      </c>
      <c r="P319" s="28" t="s">
        <v>55</v>
      </c>
      <c r="Q319" s="34"/>
      <c r="R319" s="28">
        <v>4</v>
      </c>
      <c r="S319" s="29">
        <v>0</v>
      </c>
      <c r="T319" s="29">
        <v>0</v>
      </c>
      <c r="U319" s="29">
        <f t="shared" si="41"/>
        <v>2</v>
      </c>
      <c r="V319" s="31"/>
    </row>
    <row r="320" spans="1:22" s="30" customFormat="1" ht="12.75">
      <c r="A320" s="24">
        <f t="shared" si="36"/>
      </c>
      <c r="B320" s="24" t="s">
        <v>52</v>
      </c>
      <c r="C320" s="29">
        <f t="shared" si="37"/>
        <v>1.5</v>
      </c>
      <c r="D320" s="29">
        <f t="shared" si="38"/>
        <v>8.5</v>
      </c>
      <c r="E320" s="29">
        <f t="shared" si="39"/>
        <v>9</v>
      </c>
      <c r="F320" s="28" t="s">
        <v>356</v>
      </c>
      <c r="G320" s="26" t="s">
        <v>33</v>
      </c>
      <c r="H320" s="26" t="s">
        <v>26</v>
      </c>
      <c r="I320" s="52" t="s">
        <v>54</v>
      </c>
      <c r="J320" s="52" t="s">
        <v>54</v>
      </c>
      <c r="K320" s="27">
        <f t="shared" si="42"/>
        <v>10</v>
      </c>
      <c r="L320" s="29">
        <f ca="1" t="shared" si="40"/>
        <v>1</v>
      </c>
      <c r="M320" s="29"/>
      <c r="N320" s="28" t="s">
        <v>426</v>
      </c>
      <c r="O320" s="28" t="s">
        <v>76</v>
      </c>
      <c r="P320" s="28" t="s">
        <v>55</v>
      </c>
      <c r="Q320" s="34"/>
      <c r="R320" s="28">
        <v>4</v>
      </c>
      <c r="S320" s="29">
        <v>0</v>
      </c>
      <c r="T320" s="29">
        <v>0</v>
      </c>
      <c r="U320" s="29">
        <f t="shared" si="41"/>
        <v>2</v>
      </c>
      <c r="V320" s="31"/>
    </row>
    <row r="321" spans="1:22" s="30" customFormat="1" ht="12.75">
      <c r="A321" s="24">
        <f>IF(OR(B321="Y",B321="M"),K321,"")</f>
      </c>
      <c r="B321" s="24" t="s">
        <v>52</v>
      </c>
      <c r="C321" s="29">
        <f>IF(G321="","--",(L321-Sta+Int)/2)</f>
        <v>1.5</v>
      </c>
      <c r="D321" s="29">
        <f>IF(AND(K321&lt;&gt;"",K321&lt;&gt;"G"),K321-C321,"--")</f>
        <v>13.5</v>
      </c>
      <c r="E321" s="29">
        <f>IF(AND(K321&lt;&gt;"",K321&lt;&gt;"G"),K321-L321,"--")</f>
        <v>14</v>
      </c>
      <c r="F321" s="28" t="s">
        <v>358</v>
      </c>
      <c r="G321" s="26" t="s">
        <v>33</v>
      </c>
      <c r="H321" s="26" t="s">
        <v>26</v>
      </c>
      <c r="I321" s="52" t="s">
        <v>54</v>
      </c>
      <c r="J321" s="52" t="s">
        <v>54</v>
      </c>
      <c r="K321" s="27">
        <f>IF(R321="G","G",IF(R321&gt;=5,R321+U321*5,IF((R321+U321)&lt;=5,(R321+U321),(5+5*(R321+U321-5)))))</f>
        <v>15</v>
      </c>
      <c r="L321" s="29">
        <f ca="1">IF(G321="","--",IF(I321="",INDIRECT(G321),MIN(INDIRECT(G321),INDIRECT(LEFT(I321,2)),INDIRECT(RIGHT(I321,2))))+IF(J321="",INDIRECT(H321),MIN(INDIRECT(H321),INDIRECT(LEFT(J321,2)),INDIRECT(RIGHT(J321,2))))+Sta+IF(M321="",0,$G$2))</f>
        <v>1</v>
      </c>
      <c r="M321" s="29"/>
      <c r="N321" s="28" t="s">
        <v>426</v>
      </c>
      <c r="O321" s="28" t="s">
        <v>76</v>
      </c>
      <c r="P321" s="28" t="s">
        <v>422</v>
      </c>
      <c r="Q321" s="34"/>
      <c r="R321" s="28">
        <v>3</v>
      </c>
      <c r="S321" s="29">
        <v>1</v>
      </c>
      <c r="T321" s="29">
        <v>0</v>
      </c>
      <c r="U321" s="29">
        <f>S321+T321+VLOOKUP(N321,Ranges,2,FALSE)+VLOOKUP(O321,Durations,2,FALSE)+VLOOKUP(P321,Targets,2,FALSE)</f>
        <v>4</v>
      </c>
      <c r="V321" s="31" t="s">
        <v>588</v>
      </c>
    </row>
    <row r="322" spans="1:22" s="30" customFormat="1" ht="12.75">
      <c r="A322" s="24">
        <f t="shared" si="36"/>
      </c>
      <c r="B322" s="24" t="s">
        <v>52</v>
      </c>
      <c r="C322" s="29">
        <f t="shared" si="37"/>
        <v>1.5</v>
      </c>
      <c r="D322" s="29">
        <f t="shared" si="38"/>
        <v>18.5</v>
      </c>
      <c r="E322" s="29">
        <f t="shared" si="39"/>
        <v>19</v>
      </c>
      <c r="F322" s="28" t="s">
        <v>357</v>
      </c>
      <c r="G322" s="26" t="s">
        <v>33</v>
      </c>
      <c r="H322" s="26" t="s">
        <v>26</v>
      </c>
      <c r="I322" s="52" t="s">
        <v>35</v>
      </c>
      <c r="J322" s="52" t="s">
        <v>54</v>
      </c>
      <c r="K322" s="27">
        <f t="shared" si="42"/>
        <v>20</v>
      </c>
      <c r="L322" s="29">
        <f ca="1" t="shared" si="40"/>
        <v>1</v>
      </c>
      <c r="M322" s="29"/>
      <c r="N322" s="28" t="s">
        <v>59</v>
      </c>
      <c r="O322" s="28" t="s">
        <v>76</v>
      </c>
      <c r="P322" s="28" t="s">
        <v>55</v>
      </c>
      <c r="Q322" s="34"/>
      <c r="R322" s="28">
        <v>5</v>
      </c>
      <c r="S322" s="29">
        <v>1</v>
      </c>
      <c r="T322" s="29">
        <v>1</v>
      </c>
      <c r="U322" s="29">
        <f t="shared" si="41"/>
        <v>3</v>
      </c>
      <c r="V322" s="94" t="s">
        <v>589</v>
      </c>
    </row>
    <row r="323" spans="1:22" s="30" customFormat="1" ht="12.75">
      <c r="A323" s="24">
        <f t="shared" si="36"/>
      </c>
      <c r="B323" s="24" t="s">
        <v>52</v>
      </c>
      <c r="C323" s="29">
        <f t="shared" si="37"/>
        <v>1.5</v>
      </c>
      <c r="D323" s="29">
        <f t="shared" si="38"/>
        <v>18.5</v>
      </c>
      <c r="E323" s="29">
        <f t="shared" si="39"/>
        <v>19</v>
      </c>
      <c r="F323" s="28" t="s">
        <v>359</v>
      </c>
      <c r="G323" s="26" t="s">
        <v>33</v>
      </c>
      <c r="H323" s="26" t="s">
        <v>26</v>
      </c>
      <c r="I323" s="52" t="s">
        <v>54</v>
      </c>
      <c r="J323" s="52" t="s">
        <v>54</v>
      </c>
      <c r="K323" s="27">
        <f t="shared" si="42"/>
        <v>20</v>
      </c>
      <c r="L323" s="29">
        <f ca="1" t="shared" si="40"/>
        <v>1</v>
      </c>
      <c r="M323" s="29"/>
      <c r="N323" s="28" t="s">
        <v>118</v>
      </c>
      <c r="O323" s="28" t="s">
        <v>76</v>
      </c>
      <c r="P323" s="28" t="s">
        <v>55</v>
      </c>
      <c r="Q323" s="34"/>
      <c r="R323" s="28">
        <v>5</v>
      </c>
      <c r="S323" s="29">
        <v>0</v>
      </c>
      <c r="T323" s="29">
        <v>0</v>
      </c>
      <c r="U323" s="29">
        <f t="shared" si="41"/>
        <v>3</v>
      </c>
      <c r="V323" s="31"/>
    </row>
    <row r="324" spans="1:22" s="30" customFormat="1" ht="12.75">
      <c r="A324" s="24">
        <f>IF(OR(B324="Y",B324="M"),K324,"")</f>
      </c>
      <c r="B324" s="24" t="s">
        <v>52</v>
      </c>
      <c r="C324" s="29">
        <f>IF(G324="","--",(L324-Sta+Int)/2)</f>
        <v>1.5</v>
      </c>
      <c r="D324" s="29">
        <f>IF(AND(K324&lt;&gt;"",K324&lt;&gt;"G"),K324-C324,"--")</f>
        <v>23.5</v>
      </c>
      <c r="E324" s="29">
        <f>IF(AND(K324&lt;&gt;"",K324&lt;&gt;"G"),K324-L324,"--")</f>
        <v>24</v>
      </c>
      <c r="F324" s="28" t="s">
        <v>459</v>
      </c>
      <c r="G324" s="26" t="s">
        <v>33</v>
      </c>
      <c r="H324" s="26" t="s">
        <v>26</v>
      </c>
      <c r="I324" s="52" t="s">
        <v>54</v>
      </c>
      <c r="J324" s="52" t="s">
        <v>54</v>
      </c>
      <c r="K324" s="27">
        <f>IF(R324="G","G",IF(R324&gt;=5,R324+U324*5,IF((R324+U324)&lt;=5,(R324+U324),(5+5*(R324+U324-5)))))</f>
        <v>25</v>
      </c>
      <c r="L324" s="29">
        <f ca="1">IF(G324="","--",IF(I324="",INDIRECT(G324),MIN(INDIRECT(G324),INDIRECT(LEFT(I324,2)),INDIRECT(RIGHT(I324,2))))+IF(J324="",INDIRECT(H324),MIN(INDIRECT(H324),INDIRECT(LEFT(J324,2)),INDIRECT(RIGHT(J324,2))))+Sta+IF(M324="",0,$G$2))</f>
        <v>1</v>
      </c>
      <c r="M324" s="29"/>
      <c r="N324" s="28" t="s">
        <v>426</v>
      </c>
      <c r="O324" s="28" t="s">
        <v>76</v>
      </c>
      <c r="P324" s="28" t="s">
        <v>208</v>
      </c>
      <c r="Q324" s="34"/>
      <c r="R324" s="28">
        <v>4</v>
      </c>
      <c r="S324" s="29">
        <v>0</v>
      </c>
      <c r="T324" s="29">
        <v>0</v>
      </c>
      <c r="U324" s="29">
        <f>S324+T324+VLOOKUP(N324,Ranges,2,FALSE)+VLOOKUP(O324,Durations,2,FALSE)+VLOOKUP(P324,Targets,2,FALSE)</f>
        <v>5</v>
      </c>
      <c r="V324" s="94" t="s">
        <v>590</v>
      </c>
    </row>
    <row r="325" spans="1:22" s="30" customFormat="1" ht="12.75">
      <c r="A325" s="24">
        <f t="shared" si="36"/>
      </c>
      <c r="B325" s="24" t="s">
        <v>52</v>
      </c>
      <c r="C325" s="29">
        <f t="shared" si="37"/>
        <v>1.5</v>
      </c>
      <c r="D325" s="29">
        <f t="shared" si="38"/>
        <v>38.5</v>
      </c>
      <c r="E325" s="29">
        <f t="shared" si="39"/>
        <v>39</v>
      </c>
      <c r="F325" s="28" t="s">
        <v>360</v>
      </c>
      <c r="G325" s="26" t="s">
        <v>33</v>
      </c>
      <c r="H325" s="26" t="s">
        <v>26</v>
      </c>
      <c r="I325" s="52" t="s">
        <v>54</v>
      </c>
      <c r="J325" s="52" t="s">
        <v>54</v>
      </c>
      <c r="K325" s="27">
        <f t="shared" si="42"/>
        <v>40</v>
      </c>
      <c r="L325" s="29">
        <f ca="1" t="shared" si="40"/>
        <v>1</v>
      </c>
      <c r="M325" s="29"/>
      <c r="N325" s="28" t="s">
        <v>118</v>
      </c>
      <c r="O325" s="28" t="s">
        <v>76</v>
      </c>
      <c r="P325" s="28" t="s">
        <v>422</v>
      </c>
      <c r="Q325" s="34"/>
      <c r="R325" s="28">
        <v>4</v>
      </c>
      <c r="S325" s="29">
        <v>4</v>
      </c>
      <c r="T325" s="29">
        <v>0</v>
      </c>
      <c r="U325" s="29">
        <f t="shared" si="41"/>
        <v>8</v>
      </c>
      <c r="V325" s="31"/>
    </row>
    <row r="326" spans="1:22" s="30" customFormat="1" ht="12.75">
      <c r="A326" s="24">
        <f>IF(OR(B326="Y",B326="M"),K326,"")</f>
      </c>
      <c r="B326" s="24" t="s">
        <v>52</v>
      </c>
      <c r="C326" s="29">
        <f>IF(G326="","--",(L326-Sta+Int)/2)</f>
        <v>1.5</v>
      </c>
      <c r="D326" s="29" t="str">
        <f>IF(AND(K326&lt;&gt;"",K326&lt;&gt;"G"),K326-C326,"--")</f>
        <v>--</v>
      </c>
      <c r="E326" s="29" t="str">
        <f>IF(AND(K326&lt;&gt;"",K326&lt;&gt;"G"),K326-L326,"--")</f>
        <v>--</v>
      </c>
      <c r="F326" s="50" t="s">
        <v>371</v>
      </c>
      <c r="G326" s="26" t="s">
        <v>35</v>
      </c>
      <c r="H326" s="26" t="s">
        <v>26</v>
      </c>
      <c r="I326" s="52" t="s">
        <v>54</v>
      </c>
      <c r="J326" s="52" t="s">
        <v>54</v>
      </c>
      <c r="K326" s="34" t="str">
        <f>IF(R326="G","G",IF(R326&gt;=5,R326+U326*5,IF((R326+U326)&lt;=5,(R326+U326),(5+5*(R326+U326-5)))))</f>
        <v>G</v>
      </c>
      <c r="L326" s="29">
        <f ca="1">IF(G326="","--",IF(I326="",INDIRECT(G326),MIN(INDIRECT(G326),INDIRECT(LEFT(I326,2)),INDIRECT(RIGHT(I326,2))))+IF(J326="",INDIRECT(H326),MIN(INDIRECT(H326),INDIRECT(LEFT(J326,2)),INDIRECT(RIGHT(J326,2))))+Sta+IF(M326="",0,$G$2))</f>
        <v>1</v>
      </c>
      <c r="M326" s="29"/>
      <c r="N326" s="28" t="s">
        <v>59</v>
      </c>
      <c r="O326" s="28" t="s">
        <v>89</v>
      </c>
      <c r="P326" s="28" t="s">
        <v>160</v>
      </c>
      <c r="Q326" s="34"/>
      <c r="R326" s="28" t="s">
        <v>63</v>
      </c>
      <c r="S326" s="29">
        <v>0</v>
      </c>
      <c r="T326" s="29">
        <v>0</v>
      </c>
      <c r="U326" s="29">
        <f>S326+T326+VLOOKUP(N326,Ranges,2,FALSE)+VLOOKUP(O326,Durations,2,FALSE)+VLOOKUP(P326,Targets,2,FALSE)</f>
        <v>3</v>
      </c>
      <c r="V326" s="31" t="s">
        <v>439</v>
      </c>
    </row>
    <row r="327" spans="1:22" s="30" customFormat="1" ht="12.75">
      <c r="A327" s="24">
        <f t="shared" si="36"/>
      </c>
      <c r="B327" s="24" t="s">
        <v>52</v>
      </c>
      <c r="C327" s="29">
        <f t="shared" si="37"/>
        <v>1.5</v>
      </c>
      <c r="D327" s="29">
        <f t="shared" si="38"/>
        <v>3.5</v>
      </c>
      <c r="E327" s="29">
        <f t="shared" si="39"/>
        <v>4</v>
      </c>
      <c r="F327" s="28" t="s">
        <v>361</v>
      </c>
      <c r="G327" s="26" t="s">
        <v>35</v>
      </c>
      <c r="H327" s="26" t="s">
        <v>26</v>
      </c>
      <c r="I327" s="52" t="s">
        <v>54</v>
      </c>
      <c r="J327" s="52" t="s">
        <v>54</v>
      </c>
      <c r="K327" s="27">
        <f t="shared" si="42"/>
        <v>5</v>
      </c>
      <c r="L327" s="29">
        <f ca="1" t="shared" si="40"/>
        <v>1</v>
      </c>
      <c r="M327" s="29"/>
      <c r="N327" s="28" t="s">
        <v>426</v>
      </c>
      <c r="O327" s="28" t="s">
        <v>66</v>
      </c>
      <c r="P327" s="28" t="s">
        <v>55</v>
      </c>
      <c r="Q327" s="34"/>
      <c r="R327" s="28">
        <v>2</v>
      </c>
      <c r="S327" s="29">
        <v>0</v>
      </c>
      <c r="T327" s="29">
        <v>0</v>
      </c>
      <c r="U327" s="29">
        <f t="shared" si="41"/>
        <v>3</v>
      </c>
      <c r="V327" s="31"/>
    </row>
    <row r="328" spans="1:22" s="30" customFormat="1" ht="12.75">
      <c r="A328" s="24">
        <f aca="true" t="shared" si="43" ref="A328:A370">IF(OR(B328="Y",B328="M"),K328,"")</f>
      </c>
      <c r="B328" s="24" t="s">
        <v>52</v>
      </c>
      <c r="C328" s="29">
        <f t="shared" si="37"/>
        <v>1.5</v>
      </c>
      <c r="D328" s="29">
        <f aca="true" t="shared" si="44" ref="D328:D370">IF(AND(K328&lt;&gt;"",K328&lt;&gt;"G"),K328-C328,"--")</f>
        <v>8.5</v>
      </c>
      <c r="E328" s="29">
        <f t="shared" si="39"/>
        <v>9</v>
      </c>
      <c r="F328" s="28" t="s">
        <v>362</v>
      </c>
      <c r="G328" s="26" t="s">
        <v>35</v>
      </c>
      <c r="H328" s="26" t="s">
        <v>26</v>
      </c>
      <c r="I328" s="52" t="s">
        <v>54</v>
      </c>
      <c r="J328" s="52" t="s">
        <v>54</v>
      </c>
      <c r="K328" s="27">
        <f t="shared" si="42"/>
        <v>10</v>
      </c>
      <c r="L328" s="29">
        <f aca="true" ca="1" t="shared" si="45" ref="L328:L370">IF(G328="","--",IF(I328="",INDIRECT(G328),MIN(INDIRECT(G328),INDIRECT(LEFT(I328,2)),INDIRECT(RIGHT(I328,2))))+IF(J328="",INDIRECT(H328),MIN(INDIRECT(H328),INDIRECT(LEFT(J328,2)),INDIRECT(RIGHT(J328,2))))+Sta+IF(M328="",0,$G$2))</f>
        <v>1</v>
      </c>
      <c r="M328" s="29"/>
      <c r="N328" s="28" t="s">
        <v>59</v>
      </c>
      <c r="O328" s="28" t="s">
        <v>66</v>
      </c>
      <c r="P328" s="28" t="s">
        <v>55</v>
      </c>
      <c r="Q328" s="34"/>
      <c r="R328" s="28">
        <v>4</v>
      </c>
      <c r="S328" s="29">
        <v>0</v>
      </c>
      <c r="T328" s="29">
        <v>0</v>
      </c>
      <c r="U328" s="29">
        <f aca="true" t="shared" si="46" ref="U328:U370">S328+T328+VLOOKUP(N328,Ranges,2,FALSE)+VLOOKUP(O328,Durations,2,FALSE)+VLOOKUP(P328,Targets,2,FALSE)</f>
        <v>2</v>
      </c>
      <c r="V328" s="31"/>
    </row>
    <row r="329" spans="1:22" s="30" customFormat="1" ht="12.75">
      <c r="A329" s="24">
        <f>IF(OR(B329="Y",B329="M"),K329,"")</f>
      </c>
      <c r="B329" s="24" t="s">
        <v>52</v>
      </c>
      <c r="C329" s="29">
        <f>IF(G329="","--",(L329-Sta+Int)/2)</f>
        <v>1.5</v>
      </c>
      <c r="D329" s="29">
        <f>IF(AND(K329&lt;&gt;"",K329&lt;&gt;"G"),K329-C329,"--")</f>
        <v>8.5</v>
      </c>
      <c r="E329" s="29">
        <f>IF(AND(K329&lt;&gt;"",K329&lt;&gt;"G"),K329-L329,"--")</f>
        <v>9</v>
      </c>
      <c r="F329" s="28" t="s">
        <v>363</v>
      </c>
      <c r="G329" s="26" t="s">
        <v>35</v>
      </c>
      <c r="H329" s="26" t="s">
        <v>26</v>
      </c>
      <c r="I329" s="52" t="s">
        <v>54</v>
      </c>
      <c r="J329" s="52" t="s">
        <v>54</v>
      </c>
      <c r="K329" s="27">
        <f>IF(R329="G","G",IF(R329&gt;=5,R329+U329*5,IF((R329+U329)&lt;=5,(R329+U329),(5+5*(R329+U329-5)))))</f>
        <v>10</v>
      </c>
      <c r="L329" s="29">
        <f ca="1">IF(G329="","--",IF(I329="",INDIRECT(G329),MIN(INDIRECT(G329),INDIRECT(LEFT(I329,2)),INDIRECT(RIGHT(I329,2))))+IF(J329="",INDIRECT(H329),MIN(INDIRECT(H329),INDIRECT(LEFT(J329,2)),INDIRECT(RIGHT(J329,2))))+Sta+IF(M329="",0,$G$2))</f>
        <v>1</v>
      </c>
      <c r="M329" s="29"/>
      <c r="N329" s="28" t="s">
        <v>426</v>
      </c>
      <c r="O329" s="28" t="s">
        <v>76</v>
      </c>
      <c r="P329" s="28" t="s">
        <v>55</v>
      </c>
      <c r="Q329" s="34"/>
      <c r="R329" s="28">
        <v>4</v>
      </c>
      <c r="S329" s="29">
        <v>0</v>
      </c>
      <c r="T329" s="29">
        <v>0</v>
      </c>
      <c r="U329" s="29">
        <f>S329+T329+VLOOKUP(N329,Ranges,2,FALSE)+VLOOKUP(O329,Durations,2,FALSE)+VLOOKUP(P329,Targets,2,FALSE)</f>
        <v>2</v>
      </c>
      <c r="V329" s="31" t="s">
        <v>591</v>
      </c>
    </row>
    <row r="330" spans="1:22" s="30" customFormat="1" ht="12.75">
      <c r="A330" s="24">
        <f t="shared" si="43"/>
      </c>
      <c r="B330" s="24" t="s">
        <v>52</v>
      </c>
      <c r="C330" s="29">
        <f aca="true" t="shared" si="47" ref="C330:C370">IF(G330="","--",(L330-Sta+Int)/2)</f>
        <v>1.5</v>
      </c>
      <c r="D330" s="29">
        <f t="shared" si="44"/>
        <v>8.5</v>
      </c>
      <c r="E330" s="29">
        <f t="shared" si="39"/>
        <v>9</v>
      </c>
      <c r="F330" s="28" t="s">
        <v>460</v>
      </c>
      <c r="G330" s="26" t="s">
        <v>35</v>
      </c>
      <c r="H330" s="26" t="s">
        <v>26</v>
      </c>
      <c r="I330" s="52" t="s">
        <v>54</v>
      </c>
      <c r="J330" s="52" t="s">
        <v>54</v>
      </c>
      <c r="K330" s="27">
        <f t="shared" si="42"/>
        <v>10</v>
      </c>
      <c r="L330" s="29">
        <f ca="1" t="shared" si="45"/>
        <v>1</v>
      </c>
      <c r="M330" s="29"/>
      <c r="N330" s="28" t="s">
        <v>426</v>
      </c>
      <c r="O330" s="28" t="s">
        <v>66</v>
      </c>
      <c r="P330" s="28" t="s">
        <v>55</v>
      </c>
      <c r="Q330" s="34"/>
      <c r="R330" s="28">
        <v>3</v>
      </c>
      <c r="S330" s="29">
        <v>0</v>
      </c>
      <c r="T330" s="29">
        <v>0</v>
      </c>
      <c r="U330" s="29">
        <f t="shared" si="46"/>
        <v>3</v>
      </c>
      <c r="V330" s="31"/>
    </row>
    <row r="331" spans="1:22" s="30" customFormat="1" ht="12.75">
      <c r="A331" s="24">
        <f>IF(OR(B331="Y",B331="M"),K331,"")</f>
      </c>
      <c r="B331" s="24" t="s">
        <v>52</v>
      </c>
      <c r="C331" s="29">
        <f>IF(G331="","--",(L331-Sta+Int)/2)</f>
        <v>1.5</v>
      </c>
      <c r="D331" s="29">
        <f>IF(AND(K331&lt;&gt;"",K331&lt;&gt;"G"),K331-C331,"--")</f>
        <v>13.5</v>
      </c>
      <c r="E331" s="29">
        <f>IF(AND(K331&lt;&gt;"",K331&lt;&gt;"G"),K331-L331,"--")</f>
        <v>14</v>
      </c>
      <c r="F331" s="28" t="s">
        <v>365</v>
      </c>
      <c r="G331" s="26" t="s">
        <v>35</v>
      </c>
      <c r="H331" s="26" t="s">
        <v>26</v>
      </c>
      <c r="I331" s="52" t="s">
        <v>32</v>
      </c>
      <c r="J331" s="52" t="s">
        <v>54</v>
      </c>
      <c r="K331" s="27">
        <f>IF(R331="G","G",IF(R331&gt;=5,R331+U331*5,IF((R331+U331)&lt;=5,(R331+U331),(5+5*(R331+U331-5)))))</f>
        <v>15</v>
      </c>
      <c r="L331" s="29">
        <f ca="1">IF(G331="","--",IF(I331="",INDIRECT(G331),MIN(INDIRECT(G331),INDIRECT(LEFT(I331,2)),INDIRECT(RIGHT(I331,2))))+IF(J331="",INDIRECT(H331),MIN(INDIRECT(H331),INDIRECT(LEFT(J331,2)),INDIRECT(RIGHT(J331,2))))+Sta+IF(M331="",0,$G$2))</f>
        <v>1</v>
      </c>
      <c r="M331" s="29"/>
      <c r="N331" s="28" t="s">
        <v>426</v>
      </c>
      <c r="O331" s="28" t="s">
        <v>76</v>
      </c>
      <c r="P331" s="28" t="s">
        <v>422</v>
      </c>
      <c r="Q331" s="34"/>
      <c r="R331" s="28">
        <v>3</v>
      </c>
      <c r="S331" s="29">
        <v>0</v>
      </c>
      <c r="T331" s="29">
        <v>1</v>
      </c>
      <c r="U331" s="29">
        <f>S331+T331+VLOOKUP(N331,Ranges,2,FALSE)+VLOOKUP(O331,Durations,2,FALSE)+VLOOKUP(P331,Targets,2,FALSE)</f>
        <v>4</v>
      </c>
      <c r="V331" s="94" t="s">
        <v>485</v>
      </c>
    </row>
    <row r="332" spans="1:22" s="30" customFormat="1" ht="12.75">
      <c r="A332" s="24">
        <f t="shared" si="43"/>
      </c>
      <c r="B332" s="24" t="s">
        <v>52</v>
      </c>
      <c r="C332" s="29">
        <f t="shared" si="47"/>
        <v>1.5</v>
      </c>
      <c r="D332" s="29">
        <f t="shared" si="44"/>
        <v>13.5</v>
      </c>
      <c r="E332" s="29">
        <f aca="true" t="shared" si="48" ref="E332:E370">IF(AND(K332&lt;&gt;"",K332&lt;&gt;"G"),K332-L332,"--")</f>
        <v>14</v>
      </c>
      <c r="F332" s="28" t="s">
        <v>364</v>
      </c>
      <c r="G332" s="26" t="s">
        <v>35</v>
      </c>
      <c r="H332" s="26" t="s">
        <v>26</v>
      </c>
      <c r="I332" s="52" t="s">
        <v>32</v>
      </c>
      <c r="J332" s="52" t="s">
        <v>54</v>
      </c>
      <c r="K332" s="27">
        <f t="shared" si="42"/>
        <v>15</v>
      </c>
      <c r="L332" s="29">
        <f ca="1" t="shared" si="45"/>
        <v>1</v>
      </c>
      <c r="M332" s="29"/>
      <c r="N332" s="28" t="s">
        <v>426</v>
      </c>
      <c r="O332" s="28" t="s">
        <v>265</v>
      </c>
      <c r="P332" s="28" t="s">
        <v>422</v>
      </c>
      <c r="Q332" s="34"/>
      <c r="R332" s="28">
        <v>3</v>
      </c>
      <c r="S332" s="29">
        <v>0</v>
      </c>
      <c r="T332" s="29">
        <v>0</v>
      </c>
      <c r="U332" s="29">
        <f t="shared" si="46"/>
        <v>4</v>
      </c>
      <c r="V332" s="31" t="s">
        <v>592</v>
      </c>
    </row>
    <row r="333" spans="1:22" s="30" customFormat="1" ht="12.75">
      <c r="A333" s="24">
        <f t="shared" si="43"/>
      </c>
      <c r="B333" s="24" t="s">
        <v>52</v>
      </c>
      <c r="C333" s="29">
        <f t="shared" si="47"/>
        <v>1.5</v>
      </c>
      <c r="D333" s="29">
        <f t="shared" si="44"/>
        <v>18.5</v>
      </c>
      <c r="E333" s="29">
        <f t="shared" si="48"/>
        <v>19</v>
      </c>
      <c r="F333" s="28" t="s">
        <v>366</v>
      </c>
      <c r="G333" s="26" t="s">
        <v>35</v>
      </c>
      <c r="H333" s="26" t="s">
        <v>26</v>
      </c>
      <c r="I333" s="52" t="s">
        <v>54</v>
      </c>
      <c r="J333" s="52" t="s">
        <v>54</v>
      </c>
      <c r="K333" s="27">
        <f t="shared" si="42"/>
        <v>20</v>
      </c>
      <c r="L333" s="29">
        <f ca="1" t="shared" si="45"/>
        <v>1</v>
      </c>
      <c r="M333" s="29"/>
      <c r="N333" s="28" t="s">
        <v>426</v>
      </c>
      <c r="O333" s="28" t="s">
        <v>76</v>
      </c>
      <c r="P333" s="28" t="s">
        <v>422</v>
      </c>
      <c r="Q333" s="34"/>
      <c r="R333" s="28">
        <v>3</v>
      </c>
      <c r="S333" s="29">
        <v>2</v>
      </c>
      <c r="T333" s="29">
        <v>0</v>
      </c>
      <c r="U333" s="29">
        <f t="shared" si="46"/>
        <v>5</v>
      </c>
      <c r="V333" s="31" t="s">
        <v>512</v>
      </c>
    </row>
    <row r="334" spans="1:22" s="30" customFormat="1" ht="12.75">
      <c r="A334" s="24">
        <f>IF(OR(B334="Y",B334="M"),K334,"")</f>
      </c>
      <c r="B334" s="24" t="s">
        <v>52</v>
      </c>
      <c r="C334" s="29">
        <f>IF(G334="","--",(L334-Sta+Int)/2)</f>
        <v>1.5</v>
      </c>
      <c r="D334" s="29">
        <f>IF(AND(K334&lt;&gt;"",K334&lt;&gt;"G"),K334-C334,"--")</f>
        <v>18.5</v>
      </c>
      <c r="E334" s="29">
        <f>IF(AND(K334&lt;&gt;"",K334&lt;&gt;"G"),K334-L334,"--")</f>
        <v>19</v>
      </c>
      <c r="F334" s="28" t="s">
        <v>351</v>
      </c>
      <c r="G334" s="26" t="s">
        <v>35</v>
      </c>
      <c r="H334" s="26" t="s">
        <v>26</v>
      </c>
      <c r="I334" s="52" t="s">
        <v>54</v>
      </c>
      <c r="J334" s="52" t="s">
        <v>54</v>
      </c>
      <c r="K334" s="27">
        <f>IF(R334="G","G",IF(R334&gt;=5,R334+U334*5,IF((R334+U334)&lt;=5,(R334+U334),(5+5*(R334+U334-5)))))</f>
        <v>20</v>
      </c>
      <c r="L334" s="29">
        <f ca="1">IF(G334="","--",IF(I334="",INDIRECT(G334),MIN(INDIRECT(G334),INDIRECT(LEFT(I334,2)),INDIRECT(RIGHT(I334,2))))+IF(J334="",INDIRECT(H334),MIN(INDIRECT(H334),INDIRECT(LEFT(J334,2)),INDIRECT(RIGHT(J334,2))))+Sta+IF(M334="",0,$G$2))</f>
        <v>1</v>
      </c>
      <c r="M334" s="29"/>
      <c r="N334" s="28" t="s">
        <v>426</v>
      </c>
      <c r="O334" s="28" t="s">
        <v>94</v>
      </c>
      <c r="P334" s="28" t="s">
        <v>422</v>
      </c>
      <c r="Q334" s="34"/>
      <c r="R334" s="28">
        <v>2</v>
      </c>
      <c r="S334" s="29">
        <v>1</v>
      </c>
      <c r="T334" s="29">
        <v>0</v>
      </c>
      <c r="U334" s="29">
        <f>S334+T334+VLOOKUP(N334,Ranges,2,FALSE)+VLOOKUP(O334,Durations,2,FALSE)+VLOOKUP(P334,Targets,2,FALSE)</f>
        <v>6</v>
      </c>
      <c r="V334" s="31" t="s">
        <v>593</v>
      </c>
    </row>
    <row r="335" spans="1:22" s="30" customFormat="1" ht="12.75">
      <c r="A335" s="24">
        <f>IF(OR(B335="Y",B335="M"),K335,"")</f>
      </c>
      <c r="B335" s="24" t="s">
        <v>52</v>
      </c>
      <c r="C335" s="29">
        <f>IF(G335="","--",(L335-Sta+Int)/2)</f>
        <v>1.5</v>
      </c>
      <c r="D335" s="29">
        <f>IF(AND(K335&lt;&gt;"",K335&lt;&gt;"G"),K335-C335,"--")</f>
        <v>18.5</v>
      </c>
      <c r="E335" s="29">
        <f>IF(AND(K335&lt;&gt;"",K335&lt;&gt;"G"),K335-L335,"--")</f>
        <v>19</v>
      </c>
      <c r="F335" s="28" t="s">
        <v>352</v>
      </c>
      <c r="G335" s="26" t="s">
        <v>35</v>
      </c>
      <c r="H335" s="26" t="s">
        <v>26</v>
      </c>
      <c r="I335" s="52" t="s">
        <v>54</v>
      </c>
      <c r="J335" s="52" t="s">
        <v>54</v>
      </c>
      <c r="K335" s="27">
        <f>IF(R335="G","G",IF(R335&gt;=5,R335+U335*5,IF((R335+U335)&lt;=5,(R335+U335),(5+5*(R335+U335-5)))))</f>
        <v>20</v>
      </c>
      <c r="L335" s="29">
        <f ca="1">IF(G335="","--",IF(I335="",INDIRECT(G335),MIN(INDIRECT(G335),INDIRECT(LEFT(I335,2)),INDIRECT(RIGHT(I335,2))))+IF(J335="",INDIRECT(H335),MIN(INDIRECT(H335),INDIRECT(LEFT(J335,2)),INDIRECT(RIGHT(J335,2))))+Sta+IF(M335="",0,$G$2))</f>
        <v>1</v>
      </c>
      <c r="M335" s="29"/>
      <c r="N335" s="28" t="s">
        <v>426</v>
      </c>
      <c r="O335" s="28" t="s">
        <v>94</v>
      </c>
      <c r="P335" s="28" t="s">
        <v>422</v>
      </c>
      <c r="Q335" s="34"/>
      <c r="R335" s="28">
        <v>2</v>
      </c>
      <c r="S335" s="29">
        <v>1</v>
      </c>
      <c r="T335" s="29">
        <v>0</v>
      </c>
      <c r="U335" s="29">
        <f>S335+T335+VLOOKUP(N335,Ranges,2,FALSE)+VLOOKUP(O335,Durations,2,FALSE)+VLOOKUP(P335,Targets,2,FALSE)</f>
        <v>6</v>
      </c>
      <c r="V335" s="31" t="s">
        <v>593</v>
      </c>
    </row>
    <row r="336" spans="1:22" s="30" customFormat="1" ht="12.75">
      <c r="A336" s="24">
        <f>IF(OR(B336="Y",B336="M"),K336,"")</f>
      </c>
      <c r="B336" s="24" t="s">
        <v>52</v>
      </c>
      <c r="C336" s="29">
        <f>IF(G336="","--",(L336-Sta+Int)/2)</f>
        <v>1.5</v>
      </c>
      <c r="D336" s="29">
        <f>IF(AND(K336&lt;&gt;"",K336&lt;&gt;"G"),K336-C336,"--")</f>
        <v>28.5</v>
      </c>
      <c r="E336" s="29">
        <f>IF(AND(K336&lt;&gt;"",K336&lt;&gt;"G"),K336-L336,"--")</f>
        <v>29</v>
      </c>
      <c r="F336" s="28" t="s">
        <v>368</v>
      </c>
      <c r="G336" s="26" t="s">
        <v>35</v>
      </c>
      <c r="H336" s="26" t="s">
        <v>26</v>
      </c>
      <c r="I336" s="52" t="s">
        <v>54</v>
      </c>
      <c r="J336" s="52" t="s">
        <v>54</v>
      </c>
      <c r="K336" s="27">
        <f>IF(R336="G","G",IF(R336&gt;=5,R336+U336*5,IF((R336+U336)&lt;=5,(R336+U336),(5+5*(R336+U336-5)))))</f>
        <v>30</v>
      </c>
      <c r="L336" s="29">
        <f ca="1">IF(G336="","--",IF(I336="",INDIRECT(G336),MIN(INDIRECT(G336),INDIRECT(LEFT(I336,2)),INDIRECT(RIGHT(I336,2))))+IF(J336="",INDIRECT(H336),MIN(INDIRECT(H336),INDIRECT(LEFT(J336,2)),INDIRECT(RIGHT(J336,2))))+Sta+IF(M336="",0,$G$2))</f>
        <v>1</v>
      </c>
      <c r="M336" s="29"/>
      <c r="N336" s="28" t="s">
        <v>426</v>
      </c>
      <c r="O336" s="28" t="s">
        <v>66</v>
      </c>
      <c r="P336" s="28" t="s">
        <v>422</v>
      </c>
      <c r="Q336" s="34"/>
      <c r="R336" s="28">
        <v>3</v>
      </c>
      <c r="S336" s="29">
        <v>2</v>
      </c>
      <c r="T336" s="29">
        <v>1</v>
      </c>
      <c r="U336" s="29">
        <f>S336+T336+VLOOKUP(N336,Ranges,2,FALSE)+VLOOKUP(O336,Durations,2,FALSE)+VLOOKUP(P336,Targets,2,FALSE)</f>
        <v>7</v>
      </c>
      <c r="V336" s="31" t="s">
        <v>512</v>
      </c>
    </row>
    <row r="337" spans="1:22" s="30" customFormat="1" ht="12.75">
      <c r="A337" s="24">
        <f t="shared" si="43"/>
      </c>
      <c r="B337" s="24" t="s">
        <v>52</v>
      </c>
      <c r="C337" s="29">
        <f t="shared" si="47"/>
        <v>1.5</v>
      </c>
      <c r="D337" s="29">
        <f t="shared" si="44"/>
        <v>28.5</v>
      </c>
      <c r="E337" s="29">
        <f t="shared" si="48"/>
        <v>29</v>
      </c>
      <c r="F337" s="28" t="s">
        <v>367</v>
      </c>
      <c r="G337" s="26" t="s">
        <v>35</v>
      </c>
      <c r="H337" s="26" t="s">
        <v>26</v>
      </c>
      <c r="I337" s="52" t="s">
        <v>54</v>
      </c>
      <c r="J337" s="52" t="s">
        <v>54</v>
      </c>
      <c r="K337" s="27">
        <f t="shared" si="42"/>
        <v>30</v>
      </c>
      <c r="L337" s="29">
        <f ca="1" t="shared" si="45"/>
        <v>1</v>
      </c>
      <c r="M337" s="29"/>
      <c r="N337" s="28" t="s">
        <v>426</v>
      </c>
      <c r="O337" s="28" t="s">
        <v>76</v>
      </c>
      <c r="P337" s="28" t="s">
        <v>422</v>
      </c>
      <c r="Q337" s="34"/>
      <c r="R337" s="28">
        <v>3</v>
      </c>
      <c r="S337" s="29">
        <v>4</v>
      </c>
      <c r="T337" s="29">
        <v>0</v>
      </c>
      <c r="U337" s="29">
        <f t="shared" si="46"/>
        <v>7</v>
      </c>
      <c r="V337" s="31" t="s">
        <v>512</v>
      </c>
    </row>
    <row r="338" spans="1:22" s="30" customFormat="1" ht="12.75">
      <c r="A338" s="24">
        <f t="shared" si="43"/>
      </c>
      <c r="B338" s="24" t="s">
        <v>52</v>
      </c>
      <c r="C338" s="29">
        <f t="shared" si="47"/>
        <v>1.5</v>
      </c>
      <c r="D338" s="29">
        <f t="shared" si="44"/>
        <v>33.5</v>
      </c>
      <c r="E338" s="29">
        <f t="shared" si="48"/>
        <v>34</v>
      </c>
      <c r="F338" s="28" t="s">
        <v>369</v>
      </c>
      <c r="G338" s="26" t="s">
        <v>35</v>
      </c>
      <c r="H338" s="26" t="s">
        <v>26</v>
      </c>
      <c r="I338" s="52" t="s">
        <v>54</v>
      </c>
      <c r="J338" s="52" t="s">
        <v>54</v>
      </c>
      <c r="K338" s="27">
        <f t="shared" si="42"/>
        <v>35</v>
      </c>
      <c r="L338" s="29">
        <f ca="1" t="shared" si="45"/>
        <v>1</v>
      </c>
      <c r="M338" s="29"/>
      <c r="N338" s="28" t="s">
        <v>426</v>
      </c>
      <c r="O338" s="28" t="s">
        <v>76</v>
      </c>
      <c r="P338" s="28" t="s">
        <v>422</v>
      </c>
      <c r="Q338" s="34"/>
      <c r="R338" s="28">
        <v>3</v>
      </c>
      <c r="S338" s="29">
        <v>4</v>
      </c>
      <c r="T338" s="29">
        <v>1</v>
      </c>
      <c r="U338" s="29">
        <f t="shared" si="46"/>
        <v>8</v>
      </c>
      <c r="V338" s="31" t="s">
        <v>512</v>
      </c>
    </row>
    <row r="339" spans="1:22" s="30" customFormat="1" ht="12.75">
      <c r="A339" s="24">
        <f t="shared" si="43"/>
      </c>
      <c r="B339" s="24" t="s">
        <v>52</v>
      </c>
      <c r="C339" s="29">
        <f t="shared" si="47"/>
        <v>1.5</v>
      </c>
      <c r="D339" s="29">
        <f t="shared" si="44"/>
        <v>73.5</v>
      </c>
      <c r="E339" s="29">
        <f t="shared" si="48"/>
        <v>74</v>
      </c>
      <c r="F339" s="28" t="s">
        <v>370</v>
      </c>
      <c r="G339" s="26" t="s">
        <v>35</v>
      </c>
      <c r="H339" s="26" t="s">
        <v>26</v>
      </c>
      <c r="I339" s="52" t="s">
        <v>54</v>
      </c>
      <c r="J339" s="52" t="s">
        <v>54</v>
      </c>
      <c r="K339" s="27">
        <f t="shared" si="42"/>
        <v>75</v>
      </c>
      <c r="L339" s="29">
        <f ca="1" t="shared" si="45"/>
        <v>1</v>
      </c>
      <c r="M339" s="29"/>
      <c r="N339" s="28" t="s">
        <v>65</v>
      </c>
      <c r="O339" s="28" t="s">
        <v>101</v>
      </c>
      <c r="P339" s="28" t="s">
        <v>55</v>
      </c>
      <c r="Q339" s="34" t="s">
        <v>62</v>
      </c>
      <c r="R339" s="28">
        <v>35</v>
      </c>
      <c r="S339" s="29">
        <v>0</v>
      </c>
      <c r="T339" s="29">
        <v>0</v>
      </c>
      <c r="U339" s="29">
        <f t="shared" si="46"/>
        <v>8</v>
      </c>
      <c r="V339" s="31"/>
    </row>
    <row r="340" spans="1:22" s="30" customFormat="1" ht="12.75">
      <c r="A340" s="24">
        <f>IF(OR(B340="Y",B340="M"),K340,"")</f>
      </c>
      <c r="B340" s="24" t="s">
        <v>52</v>
      </c>
      <c r="C340" s="29">
        <f>IF(G340="","--",(L340-Sta+Int)/2)</f>
        <v>1.5</v>
      </c>
      <c r="D340" s="29" t="str">
        <f>IF(AND(K340&lt;&gt;"",K340&lt;&gt;"G"),K340-C340,"--")</f>
        <v>--</v>
      </c>
      <c r="E340" s="29" t="str">
        <f>IF(AND(K340&lt;&gt;"",K340&lt;&gt;"G"),K340-L340,"--")</f>
        <v>--</v>
      </c>
      <c r="F340" s="50" t="s">
        <v>374</v>
      </c>
      <c r="G340" s="26" t="s">
        <v>29</v>
      </c>
      <c r="H340" s="26" t="s">
        <v>27</v>
      </c>
      <c r="I340" s="52" t="s">
        <v>54</v>
      </c>
      <c r="J340" s="52" t="s">
        <v>54</v>
      </c>
      <c r="K340" s="34" t="str">
        <f>IF(R340="G","G",IF(R340&gt;=5,R340+U340*5,IF((R340+U340)&lt;=5,(R340+U340),(5+5*(R340+U340-5)))))</f>
        <v>G</v>
      </c>
      <c r="L340" s="29">
        <f ca="1">IF(G340="","--",IF(I340="",INDIRECT(G340),MIN(INDIRECT(G340),INDIRECT(LEFT(I340,2)),INDIRECT(RIGHT(I340,2))))+IF(J340="",INDIRECT(H340),MIN(INDIRECT(H340),INDIRECT(LEFT(J340,2)),INDIRECT(RIGHT(J340,2))))+Sta+IF(M340="",0,$G$2))</f>
        <v>1</v>
      </c>
      <c r="M340" s="29"/>
      <c r="N340" s="28" t="s">
        <v>59</v>
      </c>
      <c r="O340" s="28" t="s">
        <v>76</v>
      </c>
      <c r="P340" s="28" t="s">
        <v>55</v>
      </c>
      <c r="Q340" s="34" t="s">
        <v>62</v>
      </c>
      <c r="R340" s="28" t="s">
        <v>63</v>
      </c>
      <c r="S340" s="29">
        <v>0</v>
      </c>
      <c r="T340" s="29">
        <v>0</v>
      </c>
      <c r="U340" s="29">
        <f>S340+T340+VLOOKUP(N340,Ranges,2,FALSE)+VLOOKUP(O340,Durations,2,FALSE)+VLOOKUP(P340,Targets,2,FALSE)</f>
        <v>1</v>
      </c>
      <c r="V340" s="31"/>
    </row>
    <row r="341" spans="1:22" s="30" customFormat="1" ht="12.75">
      <c r="A341" s="24">
        <f>IF(OR(B341="Y",B341="M"),K341,"")</f>
      </c>
      <c r="B341" s="24" t="s">
        <v>52</v>
      </c>
      <c r="C341" s="29">
        <f>IF(G341="","--",(L341-Sta+Int)/2)</f>
        <v>1.5</v>
      </c>
      <c r="D341" s="29" t="str">
        <f>IF(AND(K341&lt;&gt;"",K341&lt;&gt;"G"),K341-C341,"--")</f>
        <v>--</v>
      </c>
      <c r="E341" s="29" t="str">
        <f>IF(AND(K341&lt;&gt;"",K341&lt;&gt;"G"),K341-L341,"--")</f>
        <v>--</v>
      </c>
      <c r="F341" s="50" t="s">
        <v>373</v>
      </c>
      <c r="G341" s="26" t="s">
        <v>29</v>
      </c>
      <c r="H341" s="26" t="s">
        <v>27</v>
      </c>
      <c r="I341" s="52" t="s">
        <v>54</v>
      </c>
      <c r="J341" s="52" t="s">
        <v>54</v>
      </c>
      <c r="K341" s="34" t="str">
        <f>IF(R341="G","G",IF(R341&gt;=5,R341+U341*5,IF((R341+U341)&lt;=5,(R341+U341),(5+5*(R341+U341-5)))))</f>
        <v>G</v>
      </c>
      <c r="L341" s="29">
        <f ca="1">IF(G341="","--",IF(I341="",INDIRECT(G341),MIN(INDIRECT(G341),INDIRECT(LEFT(I341,2)),INDIRECT(RIGHT(I341,2))))+IF(J341="",INDIRECT(H341),MIN(INDIRECT(H341),INDIRECT(LEFT(J341,2)),INDIRECT(RIGHT(J341,2))))+Sta+IF(M341="",0,$G$2))</f>
        <v>1</v>
      </c>
      <c r="M341" s="29"/>
      <c r="N341" s="28" t="s">
        <v>59</v>
      </c>
      <c r="O341" s="28" t="s">
        <v>76</v>
      </c>
      <c r="P341" s="28" t="s">
        <v>55</v>
      </c>
      <c r="Q341" s="34" t="s">
        <v>62</v>
      </c>
      <c r="R341" s="28" t="s">
        <v>63</v>
      </c>
      <c r="S341" s="29">
        <v>0</v>
      </c>
      <c r="T341" s="29">
        <v>0</v>
      </c>
      <c r="U341" s="29">
        <f>S341+T341+VLOOKUP(N341,Ranges,2,FALSE)+VLOOKUP(O341,Durations,2,FALSE)+VLOOKUP(P341,Targets,2,FALSE)</f>
        <v>1</v>
      </c>
      <c r="V341" s="31"/>
    </row>
    <row r="342" spans="1:22" s="30" customFormat="1" ht="12.75">
      <c r="A342" s="24">
        <f t="shared" si="43"/>
      </c>
      <c r="B342" s="24" t="s">
        <v>52</v>
      </c>
      <c r="C342" s="29">
        <f t="shared" si="47"/>
        <v>1.5</v>
      </c>
      <c r="D342" s="29">
        <f t="shared" si="44"/>
        <v>13.5</v>
      </c>
      <c r="E342" s="29">
        <f t="shared" si="48"/>
        <v>14</v>
      </c>
      <c r="F342" s="28" t="s">
        <v>372</v>
      </c>
      <c r="G342" s="26" t="s">
        <v>29</v>
      </c>
      <c r="H342" s="26" t="s">
        <v>27</v>
      </c>
      <c r="I342" s="52" t="s">
        <v>54</v>
      </c>
      <c r="J342" s="52" t="s">
        <v>54</v>
      </c>
      <c r="K342" s="27">
        <f t="shared" si="42"/>
        <v>15</v>
      </c>
      <c r="L342" s="29">
        <f ca="1" t="shared" si="45"/>
        <v>1</v>
      </c>
      <c r="M342" s="29"/>
      <c r="N342" s="28" t="s">
        <v>426</v>
      </c>
      <c r="O342" s="28" t="s">
        <v>94</v>
      </c>
      <c r="P342" s="28" t="s">
        <v>55</v>
      </c>
      <c r="Q342" s="34"/>
      <c r="R342" s="28">
        <v>3</v>
      </c>
      <c r="S342" s="29">
        <v>0</v>
      </c>
      <c r="T342" s="29">
        <v>0</v>
      </c>
      <c r="U342" s="29">
        <f t="shared" si="46"/>
        <v>4</v>
      </c>
      <c r="V342" s="31"/>
    </row>
    <row r="343" spans="1:22" s="30" customFormat="1" ht="12.75">
      <c r="A343" s="24">
        <f>IF(OR(B343="Y",B343="M"),K343,"")</f>
      </c>
      <c r="B343" s="24" t="s">
        <v>52</v>
      </c>
      <c r="C343" s="29">
        <f>IF(G343="","--",(L343-Sta+Int)/2)</f>
        <v>1.5</v>
      </c>
      <c r="D343" s="29">
        <f>IF(AND(K343&lt;&gt;"",K343&lt;&gt;"G"),K343-C343,"--")</f>
        <v>28.5</v>
      </c>
      <c r="E343" s="29">
        <f>IF(AND(K343&lt;&gt;"",K343&lt;&gt;"G"),K343-L343,"--")</f>
        <v>29</v>
      </c>
      <c r="F343" s="28" t="s">
        <v>461</v>
      </c>
      <c r="G343" s="26" t="s">
        <v>29</v>
      </c>
      <c r="H343" s="26" t="s">
        <v>27</v>
      </c>
      <c r="I343" s="52" t="s">
        <v>54</v>
      </c>
      <c r="J343" s="52" t="s">
        <v>54</v>
      </c>
      <c r="K343" s="27">
        <f>IF(R343="G","G",IF(R343&gt;=5,R343+U343*5,IF((R343+U343)&lt;=5,(R343+U343),(5+5*(R343+U343-5)))))</f>
        <v>30</v>
      </c>
      <c r="L343" s="29">
        <f ca="1">IF(G343="","--",IF(I343="",INDIRECT(G343),MIN(INDIRECT(G343),INDIRECT(LEFT(I343,2)),INDIRECT(RIGHT(I343,2))))+IF(J343="",INDIRECT(H343),MIN(INDIRECT(H343),INDIRECT(LEFT(J343,2)),INDIRECT(RIGHT(J343,2))))+Sta+IF(M343="",0,$G$2))</f>
        <v>1</v>
      </c>
      <c r="M343" s="29"/>
      <c r="N343" s="28" t="s">
        <v>426</v>
      </c>
      <c r="O343" s="28" t="s">
        <v>76</v>
      </c>
      <c r="P343" s="28" t="s">
        <v>55</v>
      </c>
      <c r="Q343" s="34"/>
      <c r="R343" s="28">
        <v>20</v>
      </c>
      <c r="S343" s="29">
        <v>0</v>
      </c>
      <c r="T343" s="29">
        <v>0</v>
      </c>
      <c r="U343" s="29">
        <f>S343+T343+VLOOKUP(N343,Ranges,2,FALSE)+VLOOKUP(O343,Durations,2,FALSE)+VLOOKUP(P343,Targets,2,FALSE)</f>
        <v>2</v>
      </c>
      <c r="V343" s="31" t="s">
        <v>594</v>
      </c>
    </row>
    <row r="344" spans="1:22" s="30" customFormat="1" ht="12.75">
      <c r="A344" s="24">
        <f>IF(OR(B344="Y",B344="M"),K344,"")</f>
      </c>
      <c r="B344" s="24" t="s">
        <v>52</v>
      </c>
      <c r="C344" s="29">
        <f>IF(G344="","--",(L344-Sta+Int)/2)</f>
        <v>1.5</v>
      </c>
      <c r="D344" s="29" t="str">
        <f>IF(AND(K344&lt;&gt;"",K344&lt;&gt;"G"),K344-C344,"--")</f>
        <v>--</v>
      </c>
      <c r="E344" s="29" t="str">
        <f>IF(AND(K344&lt;&gt;"",K344&lt;&gt;"G"),K344-L344,"--")</f>
        <v>--</v>
      </c>
      <c r="F344" s="50" t="s">
        <v>378</v>
      </c>
      <c r="G344" s="26" t="s">
        <v>30</v>
      </c>
      <c r="H344" s="26" t="s">
        <v>27</v>
      </c>
      <c r="I344" s="52" t="s">
        <v>54</v>
      </c>
      <c r="J344" s="52" t="s">
        <v>54</v>
      </c>
      <c r="K344" s="27" t="str">
        <f>IF(R344="G","G",IF(R344&gt;=5,R344+U344*5,IF((R344+U344)&lt;=5,(R344+U344),(5+5*(R344+U344-5)))))</f>
        <v>G</v>
      </c>
      <c r="L344" s="29">
        <f ca="1">IF(G344="","--",IF(I344="",INDIRECT(G344),MIN(INDIRECT(G344),INDIRECT(LEFT(I344,2)),INDIRECT(RIGHT(I344,2))))+IF(J344="",INDIRECT(H344),MIN(INDIRECT(H344),INDIRECT(LEFT(J344,2)),INDIRECT(RIGHT(J344,2))))+Sta+IF(M344="",0,$G$2))</f>
        <v>1</v>
      </c>
      <c r="M344" s="29"/>
      <c r="N344" s="28" t="s">
        <v>93</v>
      </c>
      <c r="O344" s="28" t="s">
        <v>66</v>
      </c>
      <c r="P344" s="28" t="s">
        <v>59</v>
      </c>
      <c r="Q344" s="34"/>
      <c r="R344" s="28" t="s">
        <v>63</v>
      </c>
      <c r="S344" s="29">
        <v>0</v>
      </c>
      <c r="T344" s="29">
        <v>0</v>
      </c>
      <c r="U344" s="29">
        <f>S344+T344+VLOOKUP(N344,Ranges,2,FALSE)+VLOOKUP(O344,Durations,2,FALSE)+VLOOKUP(P344,Targets,2,FALSE)</f>
        <v>2</v>
      </c>
      <c r="V344" s="31"/>
    </row>
    <row r="345" spans="1:22" s="30" customFormat="1" ht="12.75">
      <c r="A345" s="24">
        <f t="shared" si="43"/>
      </c>
      <c r="B345" s="24" t="s">
        <v>52</v>
      </c>
      <c r="C345" s="29">
        <f t="shared" si="47"/>
        <v>1.5</v>
      </c>
      <c r="D345" s="29">
        <f t="shared" si="44"/>
        <v>0.5</v>
      </c>
      <c r="E345" s="29">
        <f t="shared" si="48"/>
        <v>1</v>
      </c>
      <c r="F345" s="28" t="s">
        <v>462</v>
      </c>
      <c r="G345" s="26" t="s">
        <v>30</v>
      </c>
      <c r="H345" s="26" t="s">
        <v>27</v>
      </c>
      <c r="I345" s="52" t="s">
        <v>54</v>
      </c>
      <c r="J345" s="52" t="s">
        <v>54</v>
      </c>
      <c r="K345" s="27">
        <f t="shared" si="42"/>
        <v>2</v>
      </c>
      <c r="L345" s="29">
        <f ca="1" t="shared" si="45"/>
        <v>1</v>
      </c>
      <c r="M345" s="29"/>
      <c r="N345" s="28" t="s">
        <v>59</v>
      </c>
      <c r="O345" s="28" t="s">
        <v>76</v>
      </c>
      <c r="P345" s="28" t="s">
        <v>55</v>
      </c>
      <c r="Q345" s="34"/>
      <c r="R345" s="28">
        <v>1</v>
      </c>
      <c r="S345" s="29">
        <v>0</v>
      </c>
      <c r="T345" s="29">
        <v>0</v>
      </c>
      <c r="U345" s="29">
        <f t="shared" si="46"/>
        <v>1</v>
      </c>
      <c r="V345" s="31"/>
    </row>
    <row r="346" spans="1:22" s="30" customFormat="1" ht="12.75">
      <c r="A346" s="24">
        <f>IF(OR(B346="Y",B346="M"),K346,"")</f>
      </c>
      <c r="B346" s="24" t="s">
        <v>52</v>
      </c>
      <c r="C346" s="29">
        <f>IF(G346="","--",(L346-Sta+Int)/2)</f>
        <v>1.5</v>
      </c>
      <c r="D346" s="29">
        <f>IF(AND(K346&lt;&gt;"",K346&lt;&gt;"G"),K346-C346,"--")</f>
        <v>3.5</v>
      </c>
      <c r="E346" s="29">
        <f>IF(AND(K346&lt;&gt;"",K346&lt;&gt;"G"),K346-L346,"--")</f>
        <v>4</v>
      </c>
      <c r="F346" s="28" t="s">
        <v>375</v>
      </c>
      <c r="G346" s="26" t="s">
        <v>30</v>
      </c>
      <c r="H346" s="26" t="s">
        <v>27</v>
      </c>
      <c r="I346" s="52" t="s">
        <v>54</v>
      </c>
      <c r="J346" s="52" t="s">
        <v>54</v>
      </c>
      <c r="K346" s="27">
        <f>IF(R346="G","G",IF(R346&gt;=5,R346+U346*5,IF((R346+U346)&lt;=5,(R346+U346),(5+5*(R346+U346-5)))))</f>
        <v>5</v>
      </c>
      <c r="L346" s="29">
        <f ca="1">IF(G346="","--",IF(I346="",INDIRECT(G346),MIN(INDIRECT(G346),INDIRECT(LEFT(I346,2)),INDIRECT(RIGHT(I346,2))))+IF(J346="",INDIRECT(H346),MIN(INDIRECT(H346),INDIRECT(LEFT(J346,2)),INDIRECT(RIGHT(J346,2))))+Sta+IF(M346="",0,$G$2))</f>
        <v>1</v>
      </c>
      <c r="M346" s="29"/>
      <c r="N346" s="28" t="s">
        <v>59</v>
      </c>
      <c r="O346" s="28" t="s">
        <v>76</v>
      </c>
      <c r="P346" s="28" t="s">
        <v>55</v>
      </c>
      <c r="Q346" s="34"/>
      <c r="R346" s="28">
        <v>4</v>
      </c>
      <c r="S346" s="29">
        <v>0</v>
      </c>
      <c r="T346" s="29">
        <v>0</v>
      </c>
      <c r="U346" s="29">
        <f>S346+T346+VLOOKUP(N346,Ranges,2,FALSE)+VLOOKUP(O346,Durations,2,FALSE)+VLOOKUP(P346,Targets,2,FALSE)</f>
        <v>1</v>
      </c>
      <c r="V346" s="31"/>
    </row>
    <row r="347" spans="1:22" s="30" customFormat="1" ht="12.75">
      <c r="A347" s="24">
        <f t="shared" si="43"/>
      </c>
      <c r="B347" s="24" t="s">
        <v>52</v>
      </c>
      <c r="C347" s="29">
        <f t="shared" si="47"/>
        <v>1.5</v>
      </c>
      <c r="D347" s="29">
        <f t="shared" si="44"/>
        <v>3.5</v>
      </c>
      <c r="E347" s="29">
        <f t="shared" si="48"/>
        <v>4</v>
      </c>
      <c r="F347" s="28" t="s">
        <v>376</v>
      </c>
      <c r="G347" s="26" t="s">
        <v>30</v>
      </c>
      <c r="H347" s="26" t="s">
        <v>27</v>
      </c>
      <c r="I347" s="52" t="s">
        <v>54</v>
      </c>
      <c r="J347" s="52" t="s">
        <v>54</v>
      </c>
      <c r="K347" s="27">
        <f t="shared" si="42"/>
        <v>5</v>
      </c>
      <c r="L347" s="29">
        <f ca="1" t="shared" si="45"/>
        <v>1</v>
      </c>
      <c r="M347" s="29"/>
      <c r="N347" s="28" t="s">
        <v>59</v>
      </c>
      <c r="O347" s="28" t="s">
        <v>76</v>
      </c>
      <c r="P347" s="28" t="s">
        <v>55</v>
      </c>
      <c r="Q347" s="34"/>
      <c r="R347" s="28">
        <v>4</v>
      </c>
      <c r="S347" s="29">
        <v>0</v>
      </c>
      <c r="T347" s="29">
        <v>0</v>
      </c>
      <c r="U347" s="29">
        <f t="shared" si="46"/>
        <v>1</v>
      </c>
      <c r="V347" s="31"/>
    </row>
    <row r="348" spans="1:22" s="30" customFormat="1" ht="12.75">
      <c r="A348" s="24">
        <f>IF(OR(B348="Y",B348="M"),K348,"")</f>
      </c>
      <c r="B348" s="24" t="s">
        <v>52</v>
      </c>
      <c r="C348" s="29">
        <f>IF(G348="","--",(L348-Sta+Int)/2)</f>
        <v>1.5</v>
      </c>
      <c r="D348" s="29">
        <f>IF(AND(K348&lt;&gt;"",K348&lt;&gt;"G"),K348-C348,"--")</f>
        <v>18.5</v>
      </c>
      <c r="E348" s="29">
        <f>IF(AND(K348&lt;&gt;"",K348&lt;&gt;"G"),K348-L348,"--")</f>
        <v>19</v>
      </c>
      <c r="F348" s="28" t="s">
        <v>464</v>
      </c>
      <c r="G348" s="26" t="s">
        <v>30</v>
      </c>
      <c r="H348" s="26" t="s">
        <v>27</v>
      </c>
      <c r="I348" s="52" t="s">
        <v>54</v>
      </c>
      <c r="J348" s="52" t="s">
        <v>54</v>
      </c>
      <c r="K348" s="27">
        <f>IF(R348="G","G",IF(R348&gt;=5,R348+U348*5,IF((R348+U348)&lt;=5,(R348+U348),(5+5*(R348+U348-5)))))</f>
        <v>20</v>
      </c>
      <c r="L348" s="29">
        <f ca="1">IF(G348="","--",IF(I348="",INDIRECT(G348),MIN(INDIRECT(G348),INDIRECT(LEFT(I348,2)),INDIRECT(RIGHT(I348,2))))+IF(J348="",INDIRECT(H348),MIN(INDIRECT(H348),INDIRECT(LEFT(J348,2)),INDIRECT(RIGHT(J348,2))))+Sta+IF(M348="",0,$G$2))</f>
        <v>1</v>
      </c>
      <c r="M348" s="29"/>
      <c r="N348" s="28" t="s">
        <v>93</v>
      </c>
      <c r="O348" s="28" t="s">
        <v>66</v>
      </c>
      <c r="P348" s="28" t="s">
        <v>431</v>
      </c>
      <c r="Q348" s="34"/>
      <c r="R348" s="28">
        <v>3</v>
      </c>
      <c r="S348" s="29">
        <v>0</v>
      </c>
      <c r="T348" s="29">
        <v>0</v>
      </c>
      <c r="U348" s="29">
        <f>S348+T348+VLOOKUP(N348,Ranges,2,FALSE)+VLOOKUP(O348,Durations,2,FALSE)+VLOOKUP(P348,Targets,2,FALSE)</f>
        <v>5</v>
      </c>
      <c r="V348" s="31"/>
    </row>
    <row r="349" spans="1:22" s="30" customFormat="1" ht="12.75">
      <c r="A349" s="24">
        <f>IF(OR(B349="Y",B349="M"),K349,"")</f>
      </c>
      <c r="B349" s="24" t="s">
        <v>52</v>
      </c>
      <c r="C349" s="29">
        <f>IF(G349="","--",(L349-Sta+Int)/2)</f>
        <v>1.5</v>
      </c>
      <c r="D349" s="29">
        <f>IF(AND(K349&lt;&gt;"",K349&lt;&gt;"G"),K349-C349,"--")</f>
        <v>18.5</v>
      </c>
      <c r="E349" s="29">
        <f>IF(AND(K349&lt;&gt;"",K349&lt;&gt;"G"),K349-L349,"--")</f>
        <v>19</v>
      </c>
      <c r="F349" s="28" t="s">
        <v>463</v>
      </c>
      <c r="G349" s="26" t="s">
        <v>30</v>
      </c>
      <c r="H349" s="26" t="s">
        <v>27</v>
      </c>
      <c r="I349" s="52" t="s">
        <v>54</v>
      </c>
      <c r="J349" s="52" t="s">
        <v>54</v>
      </c>
      <c r="K349" s="27">
        <f>IF(R349="G","G",IF(R349&gt;=5,R349+U349*5,IF((R349+U349)&lt;=5,(R349+U349),(5+5*(R349+U349-5)))))</f>
        <v>20</v>
      </c>
      <c r="L349" s="29">
        <f ca="1">IF(G349="","--",IF(I349="",INDIRECT(G349),MIN(INDIRECT(G349),INDIRECT(LEFT(I349,2)),INDIRECT(RIGHT(I349,2))))+IF(J349="",INDIRECT(H349),MIN(INDIRECT(H349),INDIRECT(LEFT(J349,2)),INDIRECT(RIGHT(J349,2))))+Sta+IF(M349="",0,$G$2))</f>
        <v>1</v>
      </c>
      <c r="M349" s="29"/>
      <c r="N349" s="28" t="s">
        <v>93</v>
      </c>
      <c r="O349" s="28" t="s">
        <v>66</v>
      </c>
      <c r="P349" s="28" t="s">
        <v>431</v>
      </c>
      <c r="Q349" s="34"/>
      <c r="R349" s="28">
        <v>3</v>
      </c>
      <c r="S349" s="29">
        <v>0</v>
      </c>
      <c r="T349" s="29">
        <v>0</v>
      </c>
      <c r="U349" s="29">
        <f>S349+T349+VLOOKUP(N349,Ranges,2,FALSE)+VLOOKUP(O349,Durations,2,FALSE)+VLOOKUP(P349,Targets,2,FALSE)</f>
        <v>5</v>
      </c>
      <c r="V349" s="31"/>
    </row>
    <row r="350" spans="1:22" s="30" customFormat="1" ht="12.75">
      <c r="A350" s="24">
        <f>IF(OR(B350="Y",B350="M"),K350,"")</f>
      </c>
      <c r="B350" s="24" t="s">
        <v>52</v>
      </c>
      <c r="C350" s="29">
        <f>IF(G350="","--",(L350-Sta+Int)/2)</f>
        <v>1.5</v>
      </c>
      <c r="D350" s="29">
        <f>IF(AND(K350&lt;&gt;"",K350&lt;&gt;"G"),K350-C350,"--")</f>
        <v>18.5</v>
      </c>
      <c r="E350" s="29">
        <f>IF(AND(K350&lt;&gt;"",K350&lt;&gt;"G"),K350-L350,"--")</f>
        <v>19</v>
      </c>
      <c r="F350" s="28" t="s">
        <v>465</v>
      </c>
      <c r="G350" s="26" t="s">
        <v>30</v>
      </c>
      <c r="H350" s="26" t="s">
        <v>27</v>
      </c>
      <c r="I350" s="52" t="s">
        <v>54</v>
      </c>
      <c r="J350" s="52" t="s">
        <v>54</v>
      </c>
      <c r="K350" s="27">
        <f>IF(R350="G","G",IF(R350&gt;=5,R350+U350*5,IF((R350+U350)&lt;=5,(R350+U350),(5+5*(R350+U350-5)))))</f>
        <v>20</v>
      </c>
      <c r="L350" s="29">
        <f ca="1">IF(G350="","--",IF(I350="",INDIRECT(G350),MIN(INDIRECT(G350),INDIRECT(LEFT(I350,2)),INDIRECT(RIGHT(I350,2))))+IF(J350="",INDIRECT(H350),MIN(INDIRECT(H350),INDIRECT(LEFT(J350,2)),INDIRECT(RIGHT(J350,2))))+Sta+IF(M350="",0,$G$2))</f>
        <v>1</v>
      </c>
      <c r="M350" s="29"/>
      <c r="N350" s="28" t="s">
        <v>93</v>
      </c>
      <c r="O350" s="28" t="s">
        <v>66</v>
      </c>
      <c r="P350" s="28" t="s">
        <v>431</v>
      </c>
      <c r="Q350" s="34"/>
      <c r="R350" s="28">
        <v>3</v>
      </c>
      <c r="S350" s="29">
        <v>0</v>
      </c>
      <c r="T350" s="29">
        <v>0</v>
      </c>
      <c r="U350" s="29">
        <f>S350+T350+VLOOKUP(N350,Ranges,2,FALSE)+VLOOKUP(O350,Durations,2,FALSE)+VLOOKUP(P350,Targets,2,FALSE)</f>
        <v>5</v>
      </c>
      <c r="V350" s="31"/>
    </row>
    <row r="351" spans="1:22" s="30" customFormat="1" ht="12.75">
      <c r="A351" s="24">
        <f>IF(OR(B351="Y",B351="M"),K351,"")</f>
      </c>
      <c r="B351" s="24" t="s">
        <v>52</v>
      </c>
      <c r="C351" s="29">
        <f>IF(G351="","--",(L351-Sta+Int)/2)</f>
        <v>1.5</v>
      </c>
      <c r="D351" s="29">
        <f>IF(AND(K351&lt;&gt;"",K351&lt;&gt;"G"),K351-C351,"--")</f>
        <v>18.5</v>
      </c>
      <c r="E351" s="29">
        <f>IF(AND(K351&lt;&gt;"",K351&lt;&gt;"G"),K351-L351,"--")</f>
        <v>19</v>
      </c>
      <c r="F351" s="28" t="s">
        <v>466</v>
      </c>
      <c r="G351" s="26" t="s">
        <v>30</v>
      </c>
      <c r="H351" s="26" t="s">
        <v>27</v>
      </c>
      <c r="I351" s="52" t="s">
        <v>54</v>
      </c>
      <c r="J351" s="52" t="s">
        <v>54</v>
      </c>
      <c r="K351" s="27">
        <f>IF(R351="G","G",IF(R351&gt;=5,R351+U351*5,IF((R351+U351)&lt;=5,(R351+U351),(5+5*(R351+U351-5)))))</f>
        <v>20</v>
      </c>
      <c r="L351" s="29">
        <f ca="1">IF(G351="","--",IF(I351="",INDIRECT(G351),MIN(INDIRECT(G351),INDIRECT(LEFT(I351,2)),INDIRECT(RIGHT(I351,2))))+IF(J351="",INDIRECT(H351),MIN(INDIRECT(H351),INDIRECT(LEFT(J351,2)),INDIRECT(RIGHT(J351,2))))+Sta+IF(M351="",0,$G$2))</f>
        <v>1</v>
      </c>
      <c r="M351" s="29"/>
      <c r="N351" s="28" t="s">
        <v>93</v>
      </c>
      <c r="O351" s="28" t="s">
        <v>66</v>
      </c>
      <c r="P351" s="28" t="s">
        <v>431</v>
      </c>
      <c r="Q351" s="34"/>
      <c r="R351" s="28">
        <v>3</v>
      </c>
      <c r="S351" s="29">
        <v>0</v>
      </c>
      <c r="T351" s="29">
        <v>0</v>
      </c>
      <c r="U351" s="29">
        <f>S351+T351+VLOOKUP(N351,Ranges,2,FALSE)+VLOOKUP(O351,Durations,2,FALSE)+VLOOKUP(P351,Targets,2,FALSE)</f>
        <v>5</v>
      </c>
      <c r="V351" s="31"/>
    </row>
    <row r="352" spans="1:22" s="30" customFormat="1" ht="12.75">
      <c r="A352" s="24">
        <f t="shared" si="43"/>
      </c>
      <c r="B352" s="24" t="s">
        <v>52</v>
      </c>
      <c r="C352" s="29">
        <f t="shared" si="47"/>
        <v>1.5</v>
      </c>
      <c r="D352" s="29">
        <f t="shared" si="44"/>
        <v>28.5</v>
      </c>
      <c r="E352" s="29">
        <f t="shared" si="48"/>
        <v>29</v>
      </c>
      <c r="F352" s="28" t="s">
        <v>467</v>
      </c>
      <c r="G352" s="26" t="s">
        <v>30</v>
      </c>
      <c r="H352" s="26" t="s">
        <v>27</v>
      </c>
      <c r="I352" s="52" t="s">
        <v>54</v>
      </c>
      <c r="J352" s="52" t="s">
        <v>54</v>
      </c>
      <c r="K352" s="27">
        <f t="shared" si="42"/>
        <v>30</v>
      </c>
      <c r="L352" s="29">
        <f ca="1" t="shared" si="45"/>
        <v>1</v>
      </c>
      <c r="M352" s="29"/>
      <c r="N352" s="28" t="s">
        <v>93</v>
      </c>
      <c r="O352" s="28" t="s">
        <v>66</v>
      </c>
      <c r="P352" s="28" t="s">
        <v>432</v>
      </c>
      <c r="Q352" s="34"/>
      <c r="R352" s="28">
        <v>10</v>
      </c>
      <c r="S352" s="29">
        <v>0</v>
      </c>
      <c r="T352" s="29">
        <v>0</v>
      </c>
      <c r="U352" s="29">
        <f t="shared" si="46"/>
        <v>4</v>
      </c>
      <c r="V352" s="31"/>
    </row>
    <row r="353" spans="1:22" s="30" customFormat="1" ht="12.75">
      <c r="A353" s="24">
        <f t="shared" si="43"/>
      </c>
      <c r="B353" s="24" t="s">
        <v>52</v>
      </c>
      <c r="C353" s="29">
        <f t="shared" si="47"/>
        <v>1.5</v>
      </c>
      <c r="D353" s="29">
        <f t="shared" si="44"/>
        <v>38.5</v>
      </c>
      <c r="E353" s="29">
        <f t="shared" si="48"/>
        <v>39</v>
      </c>
      <c r="F353" s="28" t="s">
        <v>377</v>
      </c>
      <c r="G353" s="26" t="s">
        <v>30</v>
      </c>
      <c r="H353" s="26" t="s">
        <v>27</v>
      </c>
      <c r="I353" s="52" t="s">
        <v>54</v>
      </c>
      <c r="J353" s="52" t="s">
        <v>54</v>
      </c>
      <c r="K353" s="27">
        <f t="shared" si="42"/>
        <v>40</v>
      </c>
      <c r="L353" s="29">
        <f ca="1" t="shared" si="45"/>
        <v>1</v>
      </c>
      <c r="M353" s="29"/>
      <c r="N353" s="28" t="s">
        <v>93</v>
      </c>
      <c r="O353" s="28" t="s">
        <v>66</v>
      </c>
      <c r="P353" s="28" t="s">
        <v>431</v>
      </c>
      <c r="Q353" s="34"/>
      <c r="R353" s="28">
        <v>5</v>
      </c>
      <c r="S353" s="29">
        <v>0</v>
      </c>
      <c r="T353" s="29">
        <v>2</v>
      </c>
      <c r="U353" s="29">
        <f t="shared" si="46"/>
        <v>7</v>
      </c>
      <c r="V353" s="31"/>
    </row>
    <row r="354" spans="1:22" s="30" customFormat="1" ht="12.75">
      <c r="A354" s="24">
        <f>IF(OR(B354="Y",B354="M"),K354,"")</f>
      </c>
      <c r="B354" s="24" t="s">
        <v>52</v>
      </c>
      <c r="C354" s="29">
        <f>IF(G354="","--",(L354-Sta+Int)/2)</f>
        <v>1.5</v>
      </c>
      <c r="D354" s="29" t="str">
        <f>IF(AND(K354&lt;&gt;"",K354&lt;&gt;"G"),K354-C354,"--")</f>
        <v>--</v>
      </c>
      <c r="E354" s="29" t="str">
        <f>IF(AND(K354&lt;&gt;"",K354&lt;&gt;"G"),K354-L354,"--")</f>
        <v>--</v>
      </c>
      <c r="F354" s="50" t="s">
        <v>380</v>
      </c>
      <c r="G354" s="26" t="s">
        <v>32</v>
      </c>
      <c r="H354" s="26" t="s">
        <v>27</v>
      </c>
      <c r="I354" s="52" t="s">
        <v>54</v>
      </c>
      <c r="J354" s="52" t="s">
        <v>54</v>
      </c>
      <c r="K354" s="34" t="str">
        <f t="shared" si="42"/>
        <v>G</v>
      </c>
      <c r="L354" s="29">
        <f ca="1">IF(G354="","--",IF(I354="",INDIRECT(G354),MIN(INDIRECT(G354),INDIRECT(LEFT(I354,2)),INDIRECT(RIGHT(I354,2))))+IF(J354="",INDIRECT(H354),MIN(INDIRECT(H354),INDIRECT(LEFT(J354,2)),INDIRECT(RIGHT(J354,2))))+Sta+IF(M354="",0,$G$2))</f>
        <v>1</v>
      </c>
      <c r="M354" s="29"/>
      <c r="N354" s="28" t="s">
        <v>426</v>
      </c>
      <c r="O354" s="28" t="s">
        <v>76</v>
      </c>
      <c r="P354" s="28" t="s">
        <v>55</v>
      </c>
      <c r="Q354" s="34"/>
      <c r="R354" s="28" t="s">
        <v>63</v>
      </c>
      <c r="S354" s="29">
        <v>0</v>
      </c>
      <c r="T354" s="29">
        <v>0</v>
      </c>
      <c r="U354" s="29">
        <f>S354+T354+VLOOKUP(N354,Ranges,2,FALSE)+VLOOKUP(O354,Durations,2,FALSE)+VLOOKUP(P354,Targets,2,FALSE)</f>
        <v>2</v>
      </c>
      <c r="V354" s="31"/>
    </row>
    <row r="355" spans="1:22" s="30" customFormat="1" ht="12.75">
      <c r="A355" s="24">
        <f>IF(OR(B355="Y",B355="M"),K355,"")</f>
      </c>
      <c r="B355" s="24" t="s">
        <v>52</v>
      </c>
      <c r="C355" s="29">
        <f>IF(G355="","--",(L355-Sta+Int)/2)</f>
        <v>1.5</v>
      </c>
      <c r="D355" s="29" t="str">
        <f>IF(AND(K355&lt;&gt;"",K355&lt;&gt;"G"),K355-C355,"--")</f>
        <v>--</v>
      </c>
      <c r="E355" s="29" t="str">
        <f>IF(AND(K355&lt;&gt;"",K355&lt;&gt;"G"),K355-L355,"--")</f>
        <v>--</v>
      </c>
      <c r="F355" s="50" t="s">
        <v>381</v>
      </c>
      <c r="G355" s="26" t="s">
        <v>32</v>
      </c>
      <c r="H355" s="26" t="s">
        <v>27</v>
      </c>
      <c r="I355" s="52" t="s">
        <v>54</v>
      </c>
      <c r="J355" s="52" t="s">
        <v>54</v>
      </c>
      <c r="K355" s="34" t="str">
        <f>IF(R355="G","G",IF(R355&gt;=5,R355+U355*5,IF((R355+U355)&lt;=5,(R355+U355),(5+5*(R355+U355-5)))))</f>
        <v>G</v>
      </c>
      <c r="L355" s="29">
        <f ca="1">IF(G355="","--",IF(I355="",INDIRECT(G355),MIN(INDIRECT(G355),INDIRECT(LEFT(I355,2)),INDIRECT(RIGHT(I355,2))))+IF(J355="",INDIRECT(H355),MIN(INDIRECT(H355),INDIRECT(LEFT(J355,2)),INDIRECT(RIGHT(J355,2))))+Sta+IF(M355="",0,$G$2))</f>
        <v>1</v>
      </c>
      <c r="M355" s="29"/>
      <c r="N355" s="28" t="s">
        <v>59</v>
      </c>
      <c r="O355" s="28" t="s">
        <v>76</v>
      </c>
      <c r="P355" s="28" t="s">
        <v>55</v>
      </c>
      <c r="Q355" s="34"/>
      <c r="R355" s="28" t="s">
        <v>63</v>
      </c>
      <c r="S355" s="29">
        <v>0</v>
      </c>
      <c r="T355" s="29">
        <v>0</v>
      </c>
      <c r="U355" s="29">
        <f>S355+T355+VLOOKUP(N355,Ranges,2,FALSE)+VLOOKUP(O355,Durations,2,FALSE)+VLOOKUP(P355,Targets,2,FALSE)</f>
        <v>1</v>
      </c>
      <c r="V355" s="31"/>
    </row>
    <row r="356" spans="1:22" s="30" customFormat="1" ht="12.75">
      <c r="A356" s="24">
        <f>IF(OR(B356="Y",B356="M"),K356,"")</f>
      </c>
      <c r="B356" s="24" t="s">
        <v>52</v>
      </c>
      <c r="C356" s="29">
        <f>IF(G356="","--",(L356-Sta+Int)/2)</f>
        <v>1.5</v>
      </c>
      <c r="D356" s="29" t="str">
        <f>IF(AND(K356&lt;&gt;"",K356&lt;&gt;"G"),K356-C356,"--")</f>
        <v>--</v>
      </c>
      <c r="E356" s="29" t="str">
        <f>IF(AND(K356&lt;&gt;"",K356&lt;&gt;"G"),K356-L356,"--")</f>
        <v>--</v>
      </c>
      <c r="F356" s="50" t="s">
        <v>382</v>
      </c>
      <c r="G356" s="26" t="s">
        <v>32</v>
      </c>
      <c r="H356" s="26" t="s">
        <v>27</v>
      </c>
      <c r="I356" s="52" t="s">
        <v>54</v>
      </c>
      <c r="J356" s="52" t="s">
        <v>54</v>
      </c>
      <c r="K356" s="34" t="str">
        <f>IF(R356="G","G",IF(R356&gt;=5,R356+U356*5,IF((R356+U356)&lt;=5,(R356+U356),(5+5*(R356+U356-5)))))</f>
        <v>G</v>
      </c>
      <c r="L356" s="29">
        <f ca="1">IF(G356="","--",IF(I356="",INDIRECT(G356),MIN(INDIRECT(G356),INDIRECT(LEFT(I356,2)),INDIRECT(RIGHT(I356,2))))+IF(J356="",INDIRECT(H356),MIN(INDIRECT(H356),INDIRECT(LEFT(J356,2)),INDIRECT(RIGHT(J356,2))))+Sta+IF(M356="",0,$G$2))</f>
        <v>1</v>
      </c>
      <c r="M356" s="29"/>
      <c r="N356" s="28" t="s">
        <v>59</v>
      </c>
      <c r="O356" s="28" t="s">
        <v>76</v>
      </c>
      <c r="P356" s="28" t="s">
        <v>55</v>
      </c>
      <c r="Q356" s="34"/>
      <c r="R356" s="28" t="s">
        <v>63</v>
      </c>
      <c r="S356" s="29">
        <v>0</v>
      </c>
      <c r="T356" s="29">
        <v>0</v>
      </c>
      <c r="U356" s="29">
        <f>S356+T356+VLOOKUP(N356,Ranges,2,FALSE)+VLOOKUP(O356,Durations,2,FALSE)+VLOOKUP(P356,Targets,2,FALSE)</f>
        <v>1</v>
      </c>
      <c r="V356" s="31"/>
    </row>
    <row r="357" spans="1:22" s="30" customFormat="1" ht="12.75">
      <c r="A357" s="24">
        <f t="shared" si="43"/>
      </c>
      <c r="B357" s="24" t="s">
        <v>52</v>
      </c>
      <c r="C357" s="29">
        <f t="shared" si="47"/>
        <v>1.5</v>
      </c>
      <c r="D357" s="29" t="str">
        <f t="shared" si="44"/>
        <v>--</v>
      </c>
      <c r="E357" s="29" t="str">
        <f t="shared" si="48"/>
        <v>--</v>
      </c>
      <c r="F357" s="50" t="s">
        <v>383</v>
      </c>
      <c r="G357" s="26" t="s">
        <v>32</v>
      </c>
      <c r="H357" s="26" t="s">
        <v>27</v>
      </c>
      <c r="I357" s="52" t="s">
        <v>54</v>
      </c>
      <c r="J357" s="52" t="s">
        <v>54</v>
      </c>
      <c r="K357" s="34" t="str">
        <f aca="true" t="shared" si="49" ref="K357:K370">IF(R357="G","G",IF(R357&gt;=5,R357+U357*5,IF((R357+U357)&lt;=5,(R357+U357),(5+5*(R357+U357-5)))))</f>
        <v>G</v>
      </c>
      <c r="L357" s="29">
        <f ca="1" t="shared" si="45"/>
        <v>1</v>
      </c>
      <c r="M357" s="29"/>
      <c r="N357" s="28" t="s">
        <v>59</v>
      </c>
      <c r="O357" s="28" t="s">
        <v>76</v>
      </c>
      <c r="P357" s="28" t="s">
        <v>55</v>
      </c>
      <c r="Q357" s="34"/>
      <c r="R357" s="28" t="s">
        <v>63</v>
      </c>
      <c r="S357" s="29">
        <v>0</v>
      </c>
      <c r="T357" s="29">
        <v>0</v>
      </c>
      <c r="U357" s="29">
        <f t="shared" si="46"/>
        <v>1</v>
      </c>
      <c r="V357" s="31"/>
    </row>
    <row r="358" spans="1:22" s="30" customFormat="1" ht="12.75">
      <c r="A358" s="24">
        <f t="shared" si="43"/>
      </c>
      <c r="B358" s="24" t="s">
        <v>52</v>
      </c>
      <c r="C358" s="29">
        <f t="shared" si="47"/>
        <v>1.5</v>
      </c>
      <c r="D358" s="29" t="str">
        <f t="shared" si="44"/>
        <v>--</v>
      </c>
      <c r="E358" s="29" t="str">
        <f t="shared" si="48"/>
        <v>--</v>
      </c>
      <c r="F358" s="50" t="s">
        <v>384</v>
      </c>
      <c r="G358" s="26" t="s">
        <v>32</v>
      </c>
      <c r="H358" s="26" t="s">
        <v>27</v>
      </c>
      <c r="I358" s="52" t="s">
        <v>54</v>
      </c>
      <c r="J358" s="52" t="s">
        <v>54</v>
      </c>
      <c r="K358" s="34" t="str">
        <f t="shared" si="49"/>
        <v>G</v>
      </c>
      <c r="L358" s="29">
        <f ca="1" t="shared" si="45"/>
        <v>1</v>
      </c>
      <c r="M358" s="29"/>
      <c r="N358" s="28" t="s">
        <v>426</v>
      </c>
      <c r="O358" s="28" t="s">
        <v>76</v>
      </c>
      <c r="P358" s="28" t="s">
        <v>85</v>
      </c>
      <c r="Q358" s="34"/>
      <c r="R358" s="28" t="s">
        <v>63</v>
      </c>
      <c r="S358" s="29">
        <v>0</v>
      </c>
      <c r="T358" s="29">
        <v>0</v>
      </c>
      <c r="U358" s="29">
        <f t="shared" si="46"/>
        <v>4</v>
      </c>
      <c r="V358" s="31"/>
    </row>
    <row r="359" spans="1:22" s="30" customFormat="1" ht="12.75">
      <c r="A359" s="24">
        <f t="shared" si="43"/>
      </c>
      <c r="B359" s="24" t="s">
        <v>52</v>
      </c>
      <c r="C359" s="29">
        <f t="shared" si="47"/>
        <v>1.5</v>
      </c>
      <c r="D359" s="29" t="str">
        <f t="shared" si="44"/>
        <v>--</v>
      </c>
      <c r="E359" s="29" t="str">
        <f t="shared" si="48"/>
        <v>--</v>
      </c>
      <c r="F359" s="50" t="s">
        <v>385</v>
      </c>
      <c r="G359" s="26" t="s">
        <v>33</v>
      </c>
      <c r="H359" s="26" t="s">
        <v>27</v>
      </c>
      <c r="I359" s="52" t="s">
        <v>54</v>
      </c>
      <c r="J359" s="52" t="s">
        <v>54</v>
      </c>
      <c r="K359" s="34" t="str">
        <f t="shared" si="49"/>
        <v>G</v>
      </c>
      <c r="L359" s="29">
        <f ca="1" t="shared" si="45"/>
        <v>1</v>
      </c>
      <c r="M359" s="29"/>
      <c r="N359" s="28" t="s">
        <v>426</v>
      </c>
      <c r="O359" s="28" t="s">
        <v>76</v>
      </c>
      <c r="P359" s="28" t="s">
        <v>55</v>
      </c>
      <c r="Q359" s="34"/>
      <c r="R359" s="28" t="s">
        <v>63</v>
      </c>
      <c r="S359" s="29">
        <v>0</v>
      </c>
      <c r="T359" s="29">
        <v>0</v>
      </c>
      <c r="U359" s="29">
        <f t="shared" si="46"/>
        <v>2</v>
      </c>
      <c r="V359" s="31"/>
    </row>
    <row r="360" spans="1:22" s="30" customFormat="1" ht="12.75">
      <c r="A360" s="24">
        <f t="shared" si="43"/>
      </c>
      <c r="B360" s="24" t="s">
        <v>52</v>
      </c>
      <c r="C360" s="29">
        <f t="shared" si="47"/>
        <v>1.5</v>
      </c>
      <c r="D360" s="29" t="str">
        <f t="shared" si="44"/>
        <v>--</v>
      </c>
      <c r="E360" s="29" t="str">
        <f t="shared" si="48"/>
        <v>--</v>
      </c>
      <c r="F360" s="50" t="s">
        <v>386</v>
      </c>
      <c r="G360" s="26" t="s">
        <v>33</v>
      </c>
      <c r="H360" s="26" t="s">
        <v>27</v>
      </c>
      <c r="I360" s="52" t="s">
        <v>54</v>
      </c>
      <c r="J360" s="52" t="s">
        <v>54</v>
      </c>
      <c r="K360" s="34" t="str">
        <f t="shared" si="49"/>
        <v>G</v>
      </c>
      <c r="L360" s="29">
        <f ca="1" t="shared" si="45"/>
        <v>1</v>
      </c>
      <c r="M360" s="29"/>
      <c r="N360" s="28" t="s">
        <v>59</v>
      </c>
      <c r="O360" s="28" t="s">
        <v>76</v>
      </c>
      <c r="P360" s="28" t="s">
        <v>55</v>
      </c>
      <c r="Q360" s="34" t="s">
        <v>62</v>
      </c>
      <c r="R360" s="28" t="s">
        <v>63</v>
      </c>
      <c r="S360" s="29">
        <v>0</v>
      </c>
      <c r="T360" s="29">
        <v>0</v>
      </c>
      <c r="U360" s="29">
        <f t="shared" si="46"/>
        <v>1</v>
      </c>
      <c r="V360" s="31"/>
    </row>
    <row r="361" spans="1:22" s="30" customFormat="1" ht="12.75">
      <c r="A361" s="24">
        <f t="shared" si="43"/>
      </c>
      <c r="B361" s="24" t="s">
        <v>52</v>
      </c>
      <c r="C361" s="29">
        <f t="shared" si="47"/>
        <v>1.5</v>
      </c>
      <c r="D361" s="29" t="str">
        <f t="shared" si="44"/>
        <v>--</v>
      </c>
      <c r="E361" s="29" t="str">
        <f t="shared" si="48"/>
        <v>--</v>
      </c>
      <c r="F361" s="50" t="s">
        <v>387</v>
      </c>
      <c r="G361" s="26" t="s">
        <v>33</v>
      </c>
      <c r="H361" s="26" t="s">
        <v>27</v>
      </c>
      <c r="I361" s="52" t="s">
        <v>54</v>
      </c>
      <c r="J361" s="52" t="s">
        <v>54</v>
      </c>
      <c r="K361" s="34" t="str">
        <f t="shared" si="49"/>
        <v>G</v>
      </c>
      <c r="L361" s="29">
        <f ca="1" t="shared" si="45"/>
        <v>1</v>
      </c>
      <c r="M361" s="29"/>
      <c r="N361" s="28" t="s">
        <v>59</v>
      </c>
      <c r="O361" s="28" t="s">
        <v>94</v>
      </c>
      <c r="P361" s="28" t="s">
        <v>55</v>
      </c>
      <c r="Q361" s="34"/>
      <c r="R361" s="28" t="s">
        <v>63</v>
      </c>
      <c r="S361" s="29">
        <v>0</v>
      </c>
      <c r="T361" s="29">
        <v>0</v>
      </c>
      <c r="U361" s="29">
        <f t="shared" si="46"/>
        <v>3</v>
      </c>
      <c r="V361" s="31"/>
    </row>
    <row r="362" spans="1:22" s="30" customFormat="1" ht="12.75">
      <c r="A362" s="24">
        <f>IF(OR(B362="Y",B362="M"),K362,"")</f>
      </c>
      <c r="B362" s="24" t="s">
        <v>52</v>
      </c>
      <c r="C362" s="29">
        <f>IF(G362="","--",(L362-Sta+Int)/2)</f>
        <v>1.5</v>
      </c>
      <c r="D362" s="29" t="str">
        <f>IF(AND(K362&lt;&gt;"",K362&lt;&gt;"G"),K362-C362,"--")</f>
        <v>--</v>
      </c>
      <c r="E362" s="29" t="str">
        <f>IF(AND(K362&lt;&gt;"",K362&lt;&gt;"G"),K362-L362,"--")</f>
        <v>--</v>
      </c>
      <c r="F362" s="50" t="s">
        <v>468</v>
      </c>
      <c r="G362" s="26" t="s">
        <v>33</v>
      </c>
      <c r="H362" s="26" t="s">
        <v>27</v>
      </c>
      <c r="I362" s="52" t="s">
        <v>54</v>
      </c>
      <c r="J362" s="52" t="s">
        <v>54</v>
      </c>
      <c r="K362" s="34" t="str">
        <f>IF(R362="G","G",IF(R362&gt;=5,R362+U362*5,IF((R362+U362)&lt;=5,(R362+U362),(5+5*(R362+U362-5)))))</f>
        <v>G</v>
      </c>
      <c r="L362" s="29">
        <f ca="1">IF(G362="","--",IF(I362="",INDIRECT(G362),MIN(INDIRECT(G362),INDIRECT(LEFT(I362,2)),INDIRECT(RIGHT(I362,2))))+IF(J362="",INDIRECT(H362),MIN(INDIRECT(H362),INDIRECT(LEFT(J362,2)),INDIRECT(RIGHT(J362,2))))+Sta+IF(M362="",0,$G$2))</f>
        <v>1</v>
      </c>
      <c r="M362" s="29"/>
      <c r="N362" s="28" t="s">
        <v>426</v>
      </c>
      <c r="O362" s="28" t="s">
        <v>76</v>
      </c>
      <c r="P362" s="28" t="s">
        <v>55</v>
      </c>
      <c r="Q362" s="34"/>
      <c r="R362" s="28" t="s">
        <v>63</v>
      </c>
      <c r="S362" s="29">
        <v>0</v>
      </c>
      <c r="T362" s="29">
        <v>0</v>
      </c>
      <c r="U362" s="29">
        <f>S362+T362+VLOOKUP(N362,Ranges,2,FALSE)+VLOOKUP(O362,Durations,2,FALSE)+VLOOKUP(P362,Targets,2,FALSE)</f>
        <v>2</v>
      </c>
      <c r="V362" s="31"/>
    </row>
    <row r="363" spans="1:22" s="30" customFormat="1" ht="12.75">
      <c r="A363" s="24">
        <f t="shared" si="43"/>
      </c>
      <c r="B363" s="24" t="s">
        <v>52</v>
      </c>
      <c r="C363" s="29">
        <f t="shared" si="47"/>
        <v>1.5</v>
      </c>
      <c r="D363" s="29" t="str">
        <f t="shared" si="44"/>
        <v>--</v>
      </c>
      <c r="E363" s="29" t="str">
        <f t="shared" si="48"/>
        <v>--</v>
      </c>
      <c r="F363" s="50" t="s">
        <v>388</v>
      </c>
      <c r="G363" s="26" t="s">
        <v>33</v>
      </c>
      <c r="H363" s="26" t="s">
        <v>27</v>
      </c>
      <c r="I363" s="52" t="s">
        <v>54</v>
      </c>
      <c r="J363" s="52" t="s">
        <v>54</v>
      </c>
      <c r="K363" s="34" t="str">
        <f t="shared" si="49"/>
        <v>G</v>
      </c>
      <c r="L363" s="29">
        <f ca="1" t="shared" si="45"/>
        <v>1</v>
      </c>
      <c r="M363" s="29"/>
      <c r="N363" s="28" t="s">
        <v>426</v>
      </c>
      <c r="O363" s="28" t="s">
        <v>76</v>
      </c>
      <c r="P363" s="28" t="s">
        <v>105</v>
      </c>
      <c r="Q363" s="34"/>
      <c r="R363" s="28" t="s">
        <v>63</v>
      </c>
      <c r="S363" s="29">
        <v>0</v>
      </c>
      <c r="T363" s="29">
        <v>0</v>
      </c>
      <c r="U363" s="29">
        <f t="shared" si="46"/>
        <v>4</v>
      </c>
      <c r="V363" s="31"/>
    </row>
    <row r="364" spans="1:22" s="30" customFormat="1" ht="12.75">
      <c r="A364" s="24">
        <f t="shared" si="43"/>
      </c>
      <c r="B364" s="24" t="s">
        <v>52</v>
      </c>
      <c r="C364" s="29">
        <f t="shared" si="47"/>
        <v>1.5</v>
      </c>
      <c r="D364" s="29" t="str">
        <f t="shared" si="44"/>
        <v>--</v>
      </c>
      <c r="E364" s="29" t="str">
        <f t="shared" si="48"/>
        <v>--</v>
      </c>
      <c r="F364" s="50" t="s">
        <v>389</v>
      </c>
      <c r="G364" s="26" t="s">
        <v>35</v>
      </c>
      <c r="H364" s="26" t="s">
        <v>27</v>
      </c>
      <c r="I364" s="52" t="s">
        <v>54</v>
      </c>
      <c r="J364" s="52" t="s">
        <v>54</v>
      </c>
      <c r="K364" s="34" t="str">
        <f t="shared" si="49"/>
        <v>G</v>
      </c>
      <c r="L364" s="29">
        <f ca="1" t="shared" si="45"/>
        <v>1</v>
      </c>
      <c r="M364" s="29"/>
      <c r="N364" s="28" t="s">
        <v>59</v>
      </c>
      <c r="O364" s="28" t="s">
        <v>101</v>
      </c>
      <c r="P364" s="28" t="s">
        <v>61</v>
      </c>
      <c r="Q364" s="34" t="s">
        <v>62</v>
      </c>
      <c r="R364" s="28" t="s">
        <v>63</v>
      </c>
      <c r="S364" s="29">
        <v>0</v>
      </c>
      <c r="T364" s="29">
        <v>0</v>
      </c>
      <c r="U364" s="29">
        <f t="shared" si="46"/>
        <v>9</v>
      </c>
      <c r="V364" s="31" t="s">
        <v>439</v>
      </c>
    </row>
    <row r="365" spans="1:22" s="30" customFormat="1" ht="12.75">
      <c r="A365" s="24">
        <f t="shared" si="43"/>
      </c>
      <c r="B365" s="24" t="s">
        <v>52</v>
      </c>
      <c r="C365" s="29">
        <f t="shared" si="47"/>
        <v>1.5</v>
      </c>
      <c r="D365" s="29" t="str">
        <f t="shared" si="44"/>
        <v>--</v>
      </c>
      <c r="E365" s="29" t="str">
        <f t="shared" si="48"/>
        <v>--</v>
      </c>
      <c r="F365" s="50" t="s">
        <v>390</v>
      </c>
      <c r="G365" s="26" t="s">
        <v>35</v>
      </c>
      <c r="H365" s="26" t="s">
        <v>27</v>
      </c>
      <c r="I365" s="52" t="s">
        <v>54</v>
      </c>
      <c r="J365" s="52" t="s">
        <v>54</v>
      </c>
      <c r="K365" s="34" t="str">
        <f t="shared" si="49"/>
        <v>G</v>
      </c>
      <c r="L365" s="29">
        <f ca="1" t="shared" si="45"/>
        <v>1</v>
      </c>
      <c r="M365" s="29"/>
      <c r="N365" s="28" t="s">
        <v>59</v>
      </c>
      <c r="O365" s="28" t="s">
        <v>89</v>
      </c>
      <c r="P365" s="28" t="s">
        <v>160</v>
      </c>
      <c r="Q365" s="34"/>
      <c r="R365" s="28" t="s">
        <v>63</v>
      </c>
      <c r="S365" s="29">
        <v>0</v>
      </c>
      <c r="T365" s="29">
        <v>0</v>
      </c>
      <c r="U365" s="29">
        <f t="shared" si="46"/>
        <v>3</v>
      </c>
      <c r="V365" s="31" t="s">
        <v>439</v>
      </c>
    </row>
    <row r="366" spans="1:22" s="30" customFormat="1" ht="12.75">
      <c r="A366" s="24">
        <f t="shared" si="43"/>
      </c>
      <c r="B366" s="24" t="s">
        <v>52</v>
      </c>
      <c r="C366" s="29">
        <f t="shared" si="47"/>
        <v>1.5</v>
      </c>
      <c r="D366" s="29" t="str">
        <f t="shared" si="44"/>
        <v>--</v>
      </c>
      <c r="E366" s="29" t="str">
        <f t="shared" si="48"/>
        <v>--</v>
      </c>
      <c r="F366" s="50" t="s">
        <v>391</v>
      </c>
      <c r="G366" s="26" t="s">
        <v>35</v>
      </c>
      <c r="H366" s="26" t="s">
        <v>27</v>
      </c>
      <c r="I366" s="52" t="s">
        <v>54</v>
      </c>
      <c r="J366" s="52" t="s">
        <v>54</v>
      </c>
      <c r="K366" s="34" t="str">
        <f t="shared" si="49"/>
        <v>G</v>
      </c>
      <c r="L366" s="29">
        <f ca="1" t="shared" si="45"/>
        <v>1</v>
      </c>
      <c r="M366" s="29"/>
      <c r="N366" s="28" t="s">
        <v>59</v>
      </c>
      <c r="O366" s="28" t="s">
        <v>265</v>
      </c>
      <c r="P366" s="28" t="s">
        <v>55</v>
      </c>
      <c r="Q366" s="34"/>
      <c r="R366" s="28" t="s">
        <v>63</v>
      </c>
      <c r="S366" s="29">
        <v>0</v>
      </c>
      <c r="T366" s="29">
        <v>0</v>
      </c>
      <c r="U366" s="29">
        <f t="shared" si="46"/>
        <v>2</v>
      </c>
      <c r="V366" s="31"/>
    </row>
    <row r="367" spans="1:22" s="30" customFormat="1" ht="12.75">
      <c r="A367" s="24">
        <f t="shared" si="43"/>
      </c>
      <c r="B367" s="24" t="s">
        <v>52</v>
      </c>
      <c r="C367" s="29">
        <f t="shared" si="47"/>
        <v>1.5</v>
      </c>
      <c r="D367" s="29" t="str">
        <f t="shared" si="44"/>
        <v>--</v>
      </c>
      <c r="E367" s="29" t="str">
        <f t="shared" si="48"/>
        <v>--</v>
      </c>
      <c r="F367" s="50" t="s">
        <v>392</v>
      </c>
      <c r="G367" s="26" t="s">
        <v>35</v>
      </c>
      <c r="H367" s="26" t="s">
        <v>27</v>
      </c>
      <c r="I367" s="52" t="s">
        <v>54</v>
      </c>
      <c r="J367" s="52" t="s">
        <v>54</v>
      </c>
      <c r="K367" s="34" t="str">
        <f t="shared" si="49"/>
        <v>G</v>
      </c>
      <c r="L367" s="29">
        <f ca="1" t="shared" si="45"/>
        <v>1</v>
      </c>
      <c r="M367" s="29"/>
      <c r="N367" s="28" t="s">
        <v>65</v>
      </c>
      <c r="O367" s="28" t="s">
        <v>66</v>
      </c>
      <c r="P367" s="28" t="s">
        <v>55</v>
      </c>
      <c r="Q367" s="34"/>
      <c r="R367" s="28" t="s">
        <v>63</v>
      </c>
      <c r="S367" s="29">
        <v>0</v>
      </c>
      <c r="T367" s="29">
        <v>0</v>
      </c>
      <c r="U367" s="29">
        <f t="shared" si="46"/>
        <v>5</v>
      </c>
      <c r="V367" s="31"/>
    </row>
    <row r="368" spans="1:22" s="30" customFormat="1" ht="12.75">
      <c r="A368" s="24">
        <f t="shared" si="43"/>
      </c>
      <c r="B368" s="24" t="s">
        <v>52</v>
      </c>
      <c r="C368" s="29">
        <f t="shared" si="47"/>
        <v>1.5</v>
      </c>
      <c r="D368" s="29" t="str">
        <f t="shared" si="44"/>
        <v>--</v>
      </c>
      <c r="E368" s="29" t="str">
        <f t="shared" si="48"/>
        <v>--</v>
      </c>
      <c r="F368" s="50" t="s">
        <v>393</v>
      </c>
      <c r="G368" s="26" t="s">
        <v>35</v>
      </c>
      <c r="H368" s="26" t="s">
        <v>27</v>
      </c>
      <c r="I368" s="52" t="s">
        <v>54</v>
      </c>
      <c r="J368" s="52" t="s">
        <v>54</v>
      </c>
      <c r="K368" s="34" t="str">
        <f t="shared" si="49"/>
        <v>G</v>
      </c>
      <c r="L368" s="29">
        <f ca="1" t="shared" si="45"/>
        <v>1</v>
      </c>
      <c r="M368" s="29"/>
      <c r="N368" s="28" t="s">
        <v>59</v>
      </c>
      <c r="O368" s="28" t="s">
        <v>66</v>
      </c>
      <c r="P368" s="28" t="s">
        <v>55</v>
      </c>
      <c r="Q368" s="34"/>
      <c r="R368" s="28" t="s">
        <v>63</v>
      </c>
      <c r="S368" s="29">
        <v>0</v>
      </c>
      <c r="T368" s="29">
        <v>0</v>
      </c>
      <c r="U368" s="29">
        <f t="shared" si="46"/>
        <v>2</v>
      </c>
      <c r="V368" s="31"/>
    </row>
    <row r="369" spans="1:22" s="30" customFormat="1" ht="12.75">
      <c r="A369" s="24">
        <f>IF(OR(B369="Y",B369="M"),K369,"")</f>
      </c>
      <c r="B369" s="24" t="s">
        <v>52</v>
      </c>
      <c r="C369" s="29">
        <f>IF(G369="","--",(L369-Sta+Int)/2)</f>
        <v>1.5</v>
      </c>
      <c r="D369" s="29" t="str">
        <f>IF(AND(K369&lt;&gt;"",K369&lt;&gt;"G"),K369-C369,"--")</f>
        <v>--</v>
      </c>
      <c r="E369" s="29" t="str">
        <f>IF(AND(K369&lt;&gt;"",K369&lt;&gt;"G"),K369-L369,"--")</f>
        <v>--</v>
      </c>
      <c r="F369" s="50" t="s">
        <v>394</v>
      </c>
      <c r="G369" s="26" t="s">
        <v>35</v>
      </c>
      <c r="H369" s="26" t="s">
        <v>27</v>
      </c>
      <c r="I369" s="52" t="s">
        <v>54</v>
      </c>
      <c r="J369" s="52" t="s">
        <v>54</v>
      </c>
      <c r="K369" s="34" t="str">
        <f>IF(R369="G","G",IF(R369&gt;=5,R369+U369*5,IF((R369+U369)&lt;=5,(R369+U369),(5+5*(R369+U369-5)))))</f>
        <v>G</v>
      </c>
      <c r="L369" s="29">
        <f ca="1">IF(G369="","--",IF(I369="",INDIRECT(G369),MIN(INDIRECT(G369),INDIRECT(LEFT(I369,2)),INDIRECT(RIGHT(I369,2))))+IF(J369="",INDIRECT(H369),MIN(INDIRECT(H369),INDIRECT(LEFT(J369,2)),INDIRECT(RIGHT(J369,2))))+Sta+IF(M369="",0,$G$2))</f>
        <v>1</v>
      </c>
      <c r="M369" s="29"/>
      <c r="N369" s="28" t="s">
        <v>59</v>
      </c>
      <c r="O369" s="28" t="s">
        <v>57</v>
      </c>
      <c r="P369" s="28" t="s">
        <v>55</v>
      </c>
      <c r="Q369" s="34" t="s">
        <v>62</v>
      </c>
      <c r="R369" s="28" t="s">
        <v>63</v>
      </c>
      <c r="S369" s="29">
        <v>0</v>
      </c>
      <c r="T369" s="29">
        <v>0</v>
      </c>
      <c r="U369" s="29" t="e">
        <f>S369+T369+VLOOKUP(N369,Ranges,2,FALSE)+VLOOKUP(O369,Durations,2,FALSE)+VLOOKUP(P369,Targets,2,FALSE)</f>
        <v>#N/A</v>
      </c>
      <c r="V369" s="31"/>
    </row>
    <row r="370" spans="1:22" s="30" customFormat="1" ht="12.75">
      <c r="A370" s="24">
        <f t="shared" si="43"/>
      </c>
      <c r="B370" s="24" t="s">
        <v>52</v>
      </c>
      <c r="C370" s="29">
        <f t="shared" si="47"/>
        <v>1.5</v>
      </c>
      <c r="D370" s="29">
        <f t="shared" si="44"/>
        <v>13.5</v>
      </c>
      <c r="E370" s="29">
        <f t="shared" si="48"/>
        <v>14</v>
      </c>
      <c r="F370" s="28" t="s">
        <v>379</v>
      </c>
      <c r="G370" s="26" t="s">
        <v>35</v>
      </c>
      <c r="H370" s="26" t="s">
        <v>27</v>
      </c>
      <c r="I370" s="52" t="s">
        <v>54</v>
      </c>
      <c r="J370" s="52" t="s">
        <v>54</v>
      </c>
      <c r="K370" s="27">
        <f t="shared" si="49"/>
        <v>15</v>
      </c>
      <c r="L370" s="29">
        <f ca="1" t="shared" si="45"/>
        <v>1</v>
      </c>
      <c r="M370" s="29"/>
      <c r="N370" s="28" t="s">
        <v>59</v>
      </c>
      <c r="O370" s="28" t="s">
        <v>76</v>
      </c>
      <c r="P370" s="28" t="s">
        <v>55</v>
      </c>
      <c r="Q370" s="34"/>
      <c r="R370" s="28">
        <v>10</v>
      </c>
      <c r="S370" s="29">
        <v>0</v>
      </c>
      <c r="T370" s="29">
        <v>0</v>
      </c>
      <c r="U370" s="29">
        <f t="shared" si="46"/>
        <v>1</v>
      </c>
      <c r="V370" s="31"/>
    </row>
  </sheetData>
  <autoFilter ref="A12:V370"/>
  <printOptions/>
  <pageMargins left="0.5511811023622047" right="0.5118110236220472" top="0.3937007874015748" bottom="0.3937007874015748" header="0.3937007874015748" footer="0.3937007874015748"/>
  <pageSetup fitToHeight="99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1">
      <selection activeCell="G83" sqref="G83"/>
    </sheetView>
  </sheetViews>
  <sheetFormatPr defaultColWidth="9.33203125" defaultRowHeight="12.75"/>
  <cols>
    <col min="1" max="1" width="23" style="0" customWidth="1"/>
    <col min="2" max="2" width="25.33203125" style="7" customWidth="1"/>
    <col min="3" max="3" width="4.33203125" style="44" customWidth="1"/>
    <col min="4" max="5" width="4.5" style="44" customWidth="1"/>
    <col min="6" max="6" width="7.33203125" style="44" customWidth="1"/>
    <col min="7" max="7" width="5.66015625" style="45" customWidth="1"/>
    <col min="8" max="8" width="4.5" style="4" customWidth="1"/>
    <col min="9" max="9" width="7" style="0" customWidth="1"/>
    <col min="10" max="10" width="4.66015625" style="4" customWidth="1"/>
    <col min="11" max="11" width="4" style="44" customWidth="1"/>
    <col min="12" max="12" width="10" style="0" customWidth="1"/>
  </cols>
  <sheetData>
    <row r="1" spans="1:12" ht="12.75">
      <c r="A1" s="36" t="s">
        <v>395</v>
      </c>
      <c r="B1" s="37" t="s">
        <v>3</v>
      </c>
      <c r="C1" s="38" t="s">
        <v>4</v>
      </c>
      <c r="D1" s="38" t="s">
        <v>5</v>
      </c>
      <c r="E1" s="38" t="s">
        <v>6</v>
      </c>
      <c r="F1" s="38" t="s">
        <v>7</v>
      </c>
      <c r="G1" s="38" t="s">
        <v>11</v>
      </c>
      <c r="H1" s="38" t="s">
        <v>8</v>
      </c>
      <c r="I1" s="36" t="s">
        <v>396</v>
      </c>
      <c r="J1" s="38" t="s">
        <v>397</v>
      </c>
      <c r="K1" s="38" t="s">
        <v>208</v>
      </c>
      <c r="L1" s="36" t="s">
        <v>9</v>
      </c>
    </row>
    <row r="2" spans="1:12" ht="12.75">
      <c r="A2" s="36"/>
      <c r="B2" s="37"/>
      <c r="C2" s="38" t="s">
        <v>398</v>
      </c>
      <c r="D2" s="38" t="s">
        <v>399</v>
      </c>
      <c r="E2" s="38" t="s">
        <v>398</v>
      </c>
      <c r="F2" s="38" t="s">
        <v>400</v>
      </c>
      <c r="G2" s="38"/>
      <c r="H2" s="38"/>
      <c r="I2" s="36"/>
      <c r="J2" s="38"/>
      <c r="K2" s="38"/>
      <c r="L2" s="36"/>
    </row>
    <row r="3" spans="2:12" ht="12.75">
      <c r="B3" s="163" t="s">
        <v>683</v>
      </c>
      <c r="C3" s="54">
        <v>0</v>
      </c>
      <c r="D3" s="54">
        <v>0</v>
      </c>
      <c r="E3" s="54">
        <v>1</v>
      </c>
      <c r="F3" s="54">
        <v>0</v>
      </c>
      <c r="G3" s="55">
        <v>-1</v>
      </c>
      <c r="H3" s="56">
        <v>1</v>
      </c>
      <c r="I3" s="57"/>
      <c r="J3" s="56" t="s">
        <v>401</v>
      </c>
      <c r="K3" s="54">
        <v>-2</v>
      </c>
      <c r="L3" s="58" t="s">
        <v>402</v>
      </c>
    </row>
    <row r="4" spans="2:12" ht="12.75">
      <c r="B4" s="164" t="s">
        <v>684</v>
      </c>
      <c r="C4" s="39">
        <v>0</v>
      </c>
      <c r="D4" s="39">
        <v>0</v>
      </c>
      <c r="E4" s="39">
        <v>2</v>
      </c>
      <c r="F4" s="39">
        <v>0</v>
      </c>
      <c r="G4" s="40">
        <v>-2</v>
      </c>
      <c r="H4" s="3">
        <v>1</v>
      </c>
      <c r="I4" s="41"/>
      <c r="J4" s="3" t="s">
        <v>401</v>
      </c>
      <c r="K4" s="39">
        <v>-1</v>
      </c>
      <c r="L4" s="59" t="s">
        <v>404</v>
      </c>
    </row>
    <row r="5" spans="2:12" ht="12.75">
      <c r="B5" s="164" t="s">
        <v>685</v>
      </c>
      <c r="C5" s="39">
        <v>0</v>
      </c>
      <c r="D5" s="39">
        <v>0</v>
      </c>
      <c r="E5" s="39">
        <v>3</v>
      </c>
      <c r="F5" s="39">
        <v>0</v>
      </c>
      <c r="G5" s="40">
        <v>-2</v>
      </c>
      <c r="H5" s="3">
        <v>1</v>
      </c>
      <c r="I5" s="41"/>
      <c r="J5" s="3" t="s">
        <v>401</v>
      </c>
      <c r="K5" s="39">
        <v>0</v>
      </c>
      <c r="L5" s="59" t="s">
        <v>402</v>
      </c>
    </row>
    <row r="6" spans="2:12" ht="12.75">
      <c r="B6" s="165" t="s">
        <v>723</v>
      </c>
      <c r="C6" s="60">
        <v>0</v>
      </c>
      <c r="D6" s="60">
        <v>0</v>
      </c>
      <c r="E6" s="60">
        <v>4</v>
      </c>
      <c r="F6" s="60">
        <v>0</v>
      </c>
      <c r="G6" s="61">
        <v>-3</v>
      </c>
      <c r="H6" s="62">
        <v>1</v>
      </c>
      <c r="I6" s="63"/>
      <c r="J6" s="62" t="s">
        <v>401</v>
      </c>
      <c r="K6" s="60">
        <v>1</v>
      </c>
      <c r="L6" s="64" t="s">
        <v>403</v>
      </c>
    </row>
    <row r="7" spans="2:12" ht="12.75">
      <c r="B7" s="65" t="s">
        <v>2</v>
      </c>
      <c r="C7" s="39">
        <v>0</v>
      </c>
      <c r="D7" s="39">
        <v>0</v>
      </c>
      <c r="E7" s="39">
        <v>0</v>
      </c>
      <c r="F7" s="39">
        <v>0</v>
      </c>
      <c r="G7" s="40">
        <v>0</v>
      </c>
      <c r="H7" s="3">
        <v>0</v>
      </c>
      <c r="I7" s="41"/>
      <c r="J7" s="3"/>
      <c r="K7" s="39"/>
      <c r="L7" s="41"/>
    </row>
    <row r="8" spans="1:12" ht="12.75">
      <c r="A8" s="36" t="s">
        <v>16</v>
      </c>
      <c r="B8" s="159" t="s">
        <v>667</v>
      </c>
      <c r="C8" s="67">
        <v>0</v>
      </c>
      <c r="D8" s="67">
        <v>0</v>
      </c>
      <c r="E8" s="67">
        <v>0</v>
      </c>
      <c r="F8" s="67">
        <v>0</v>
      </c>
      <c r="G8" s="68">
        <v>0</v>
      </c>
      <c r="H8" s="69">
        <v>0</v>
      </c>
      <c r="I8" s="170" t="s">
        <v>751</v>
      </c>
      <c r="J8" s="69"/>
      <c r="K8" s="67" t="s">
        <v>10</v>
      </c>
      <c r="L8" s="10" t="s">
        <v>10</v>
      </c>
    </row>
    <row r="9" spans="1:12" ht="12.75">
      <c r="A9" s="36" t="s">
        <v>16</v>
      </c>
      <c r="B9" s="159" t="s">
        <v>668</v>
      </c>
      <c r="C9" s="67">
        <v>0</v>
      </c>
      <c r="D9" s="67" t="s">
        <v>10</v>
      </c>
      <c r="E9" s="67">
        <v>0</v>
      </c>
      <c r="F9" s="67" t="s">
        <v>10</v>
      </c>
      <c r="G9" s="68">
        <v>0</v>
      </c>
      <c r="H9" s="69">
        <v>0</v>
      </c>
      <c r="I9" s="170" t="s">
        <v>751</v>
      </c>
      <c r="J9" s="69"/>
      <c r="K9" s="67" t="s">
        <v>10</v>
      </c>
      <c r="L9" s="10" t="s">
        <v>10</v>
      </c>
    </row>
    <row r="10" spans="1:12" ht="12.75">
      <c r="A10" s="36" t="s">
        <v>16</v>
      </c>
      <c r="B10" s="160" t="s">
        <v>669</v>
      </c>
      <c r="C10" s="72">
        <v>0</v>
      </c>
      <c r="D10" s="72">
        <v>0</v>
      </c>
      <c r="E10" s="72">
        <v>0</v>
      </c>
      <c r="F10" s="72">
        <v>0</v>
      </c>
      <c r="G10" s="73">
        <v>0</v>
      </c>
      <c r="H10" s="74">
        <v>0</v>
      </c>
      <c r="I10" s="170" t="s">
        <v>751</v>
      </c>
      <c r="J10" s="74"/>
      <c r="K10" s="72" t="s">
        <v>10</v>
      </c>
      <c r="L10" s="9" t="s">
        <v>10</v>
      </c>
    </row>
    <row r="11" spans="1:12" ht="12.75">
      <c r="A11" s="36" t="s">
        <v>16</v>
      </c>
      <c r="B11" s="161" t="s">
        <v>670</v>
      </c>
      <c r="C11" s="42">
        <v>-1</v>
      </c>
      <c r="D11" s="42">
        <v>0</v>
      </c>
      <c r="E11" s="42">
        <v>-1</v>
      </c>
      <c r="F11" s="42">
        <v>3</v>
      </c>
      <c r="G11" s="43">
        <v>0</v>
      </c>
      <c r="H11" s="5">
        <v>0</v>
      </c>
      <c r="I11" s="170" t="s">
        <v>751</v>
      </c>
      <c r="J11" s="5"/>
      <c r="K11" s="42" t="s">
        <v>10</v>
      </c>
      <c r="L11" s="76" t="s">
        <v>10</v>
      </c>
    </row>
    <row r="12" spans="1:12" ht="12.75">
      <c r="A12" s="36" t="s">
        <v>16</v>
      </c>
      <c r="B12" s="161" t="s">
        <v>671</v>
      </c>
      <c r="C12" s="42">
        <v>0</v>
      </c>
      <c r="D12" s="42">
        <v>0</v>
      </c>
      <c r="E12" s="42">
        <v>1</v>
      </c>
      <c r="F12" s="42">
        <v>2</v>
      </c>
      <c r="G12" s="43">
        <v>0</v>
      </c>
      <c r="H12" s="5">
        <v>0</v>
      </c>
      <c r="I12" s="170" t="s">
        <v>751</v>
      </c>
      <c r="J12" s="5"/>
      <c r="K12" s="42">
        <v>-3</v>
      </c>
      <c r="L12" s="76" t="s">
        <v>404</v>
      </c>
    </row>
    <row r="13" spans="1:12" ht="12.75">
      <c r="A13" s="36" t="s">
        <v>16</v>
      </c>
      <c r="B13" s="161" t="s">
        <v>672</v>
      </c>
      <c r="C13" s="42">
        <v>0</v>
      </c>
      <c r="D13" s="42">
        <v>2</v>
      </c>
      <c r="E13" s="42">
        <v>0</v>
      </c>
      <c r="F13" s="42">
        <v>2</v>
      </c>
      <c r="G13" s="43">
        <v>1</v>
      </c>
      <c r="H13" s="5">
        <v>0</v>
      </c>
      <c r="I13" s="170" t="s">
        <v>751</v>
      </c>
      <c r="J13" s="5"/>
      <c r="K13" s="42">
        <v>-2</v>
      </c>
      <c r="L13" s="76" t="s">
        <v>404</v>
      </c>
    </row>
    <row r="14" spans="1:12" ht="12.75">
      <c r="A14" s="36" t="s">
        <v>16</v>
      </c>
      <c r="B14" s="161" t="s">
        <v>673</v>
      </c>
      <c r="C14" s="42">
        <v>0</v>
      </c>
      <c r="D14" s="42">
        <v>1</v>
      </c>
      <c r="E14" s="42">
        <v>0</v>
      </c>
      <c r="F14" s="42">
        <v>2</v>
      </c>
      <c r="G14" s="43">
        <v>0</v>
      </c>
      <c r="H14" s="5">
        <v>0</v>
      </c>
      <c r="I14" s="170" t="s">
        <v>751</v>
      </c>
      <c r="J14" s="5"/>
      <c r="K14" s="42">
        <v>-6</v>
      </c>
      <c r="L14" s="76" t="s">
        <v>404</v>
      </c>
    </row>
    <row r="15" spans="1:12" ht="12.75">
      <c r="A15" s="36" t="s">
        <v>16</v>
      </c>
      <c r="B15" s="75" t="s">
        <v>405</v>
      </c>
      <c r="C15" s="42">
        <v>0</v>
      </c>
      <c r="D15" s="42">
        <v>2</v>
      </c>
      <c r="E15" s="42">
        <v>0</v>
      </c>
      <c r="F15" s="42">
        <v>2</v>
      </c>
      <c r="G15" s="43">
        <v>1</v>
      </c>
      <c r="H15" s="5">
        <v>0</v>
      </c>
      <c r="I15" s="170" t="s">
        <v>751</v>
      </c>
      <c r="J15" s="5"/>
      <c r="K15" s="42">
        <v>-2</v>
      </c>
      <c r="L15" s="76" t="s">
        <v>404</v>
      </c>
    </row>
    <row r="16" spans="1:12" ht="12.75">
      <c r="A16" s="36" t="s">
        <v>16</v>
      </c>
      <c r="B16" s="162" t="s">
        <v>674</v>
      </c>
      <c r="C16" s="78">
        <v>0</v>
      </c>
      <c r="D16" s="78">
        <v>2</v>
      </c>
      <c r="E16" s="78">
        <v>0</v>
      </c>
      <c r="F16" s="78">
        <v>3</v>
      </c>
      <c r="G16" s="79">
        <v>0</v>
      </c>
      <c r="H16" s="12">
        <v>0</v>
      </c>
      <c r="I16" s="170" t="s">
        <v>751</v>
      </c>
      <c r="J16" s="12"/>
      <c r="K16" s="78">
        <v>-3</v>
      </c>
      <c r="L16" s="80" t="s">
        <v>404</v>
      </c>
    </row>
    <row r="17" spans="1:12" ht="12.75">
      <c r="A17" t="s">
        <v>406</v>
      </c>
      <c r="B17" s="160" t="s">
        <v>694</v>
      </c>
      <c r="C17" s="42">
        <v>1</v>
      </c>
      <c r="D17" s="42">
        <v>4</v>
      </c>
      <c r="E17" s="42">
        <v>0</v>
      </c>
      <c r="F17" s="42">
        <v>6</v>
      </c>
      <c r="G17" s="43">
        <v>1</v>
      </c>
      <c r="H17" s="5">
        <v>1</v>
      </c>
      <c r="I17" s="170" t="s">
        <v>751</v>
      </c>
      <c r="J17" s="5"/>
      <c r="K17" s="42">
        <v>0</v>
      </c>
      <c r="L17" s="76" t="s">
        <v>402</v>
      </c>
    </row>
    <row r="18" spans="1:12" ht="12.75">
      <c r="A18" t="s">
        <v>406</v>
      </c>
      <c r="B18" s="161" t="s">
        <v>675</v>
      </c>
      <c r="C18" s="42">
        <v>1</v>
      </c>
      <c r="D18" s="42">
        <v>2</v>
      </c>
      <c r="E18" s="42">
        <v>1</v>
      </c>
      <c r="F18" s="42">
        <v>3</v>
      </c>
      <c r="G18" s="43">
        <v>1</v>
      </c>
      <c r="H18" s="5">
        <v>1</v>
      </c>
      <c r="I18" s="170" t="s">
        <v>751</v>
      </c>
      <c r="J18" s="5"/>
      <c r="K18" s="42">
        <v>-2</v>
      </c>
      <c r="L18" s="76" t="s">
        <v>404</v>
      </c>
    </row>
    <row r="19" spans="1:12" ht="12.75">
      <c r="A19" t="s">
        <v>406</v>
      </c>
      <c r="B19" s="161" t="s">
        <v>676</v>
      </c>
      <c r="C19" s="42">
        <v>0</v>
      </c>
      <c r="D19" s="42">
        <v>3</v>
      </c>
      <c r="E19" s="42">
        <v>0</v>
      </c>
      <c r="F19" s="42">
        <v>4</v>
      </c>
      <c r="G19" s="43">
        <v>1</v>
      </c>
      <c r="H19" s="5">
        <v>1</v>
      </c>
      <c r="I19" s="170" t="s">
        <v>751</v>
      </c>
      <c r="J19" s="5"/>
      <c r="K19" s="42">
        <v>-2</v>
      </c>
      <c r="L19" s="76" t="s">
        <v>404</v>
      </c>
    </row>
    <row r="20" spans="1:12" ht="12.75">
      <c r="A20" t="s">
        <v>406</v>
      </c>
      <c r="B20" s="161" t="s">
        <v>677</v>
      </c>
      <c r="C20" s="42">
        <v>2</v>
      </c>
      <c r="D20" s="42">
        <v>4</v>
      </c>
      <c r="E20" s="42">
        <v>0</v>
      </c>
      <c r="F20" s="42">
        <v>5</v>
      </c>
      <c r="G20" s="43">
        <v>2</v>
      </c>
      <c r="H20" s="5">
        <v>1</v>
      </c>
      <c r="I20" s="170" t="s">
        <v>751</v>
      </c>
      <c r="J20" s="5"/>
      <c r="K20" s="42">
        <v>0</v>
      </c>
      <c r="L20" s="76" t="s">
        <v>402</v>
      </c>
    </row>
    <row r="21" spans="1:12" ht="12.75">
      <c r="A21" t="s">
        <v>406</v>
      </c>
      <c r="B21" s="161" t="s">
        <v>678</v>
      </c>
      <c r="C21" s="42">
        <v>1</v>
      </c>
      <c r="D21" s="42">
        <v>3</v>
      </c>
      <c r="E21" s="42">
        <v>0</v>
      </c>
      <c r="F21" s="42">
        <v>8</v>
      </c>
      <c r="G21" s="43">
        <v>2</v>
      </c>
      <c r="H21" s="5">
        <v>1</v>
      </c>
      <c r="I21" s="170" t="s">
        <v>751</v>
      </c>
      <c r="J21" s="5"/>
      <c r="K21" s="42">
        <v>0</v>
      </c>
      <c r="L21" s="76" t="s">
        <v>402</v>
      </c>
    </row>
    <row r="22" spans="1:12" ht="12.75">
      <c r="A22" t="s">
        <v>406</v>
      </c>
      <c r="B22" s="161" t="s">
        <v>679</v>
      </c>
      <c r="C22" s="42">
        <v>2</v>
      </c>
      <c r="D22" s="42">
        <v>3</v>
      </c>
      <c r="E22" s="42">
        <v>0</v>
      </c>
      <c r="F22" s="42">
        <v>7</v>
      </c>
      <c r="G22" s="43">
        <v>2</v>
      </c>
      <c r="H22" s="5">
        <v>1</v>
      </c>
      <c r="I22" s="170" t="s">
        <v>751</v>
      </c>
      <c r="J22" s="5"/>
      <c r="K22" s="42">
        <v>0</v>
      </c>
      <c r="L22" s="76" t="s">
        <v>402</v>
      </c>
    </row>
    <row r="23" spans="1:12" ht="12.75">
      <c r="A23" t="s">
        <v>406</v>
      </c>
      <c r="B23" s="161" t="s">
        <v>680</v>
      </c>
      <c r="C23" s="42">
        <v>2</v>
      </c>
      <c r="D23" s="42">
        <v>2</v>
      </c>
      <c r="E23" s="42">
        <v>0</v>
      </c>
      <c r="F23" s="42">
        <v>5</v>
      </c>
      <c r="G23" s="43">
        <v>1</v>
      </c>
      <c r="H23" s="5">
        <v>1</v>
      </c>
      <c r="I23" s="170" t="s">
        <v>751</v>
      </c>
      <c r="J23" s="5"/>
      <c r="K23" s="42">
        <v>-1</v>
      </c>
      <c r="L23" s="76" t="s">
        <v>404</v>
      </c>
    </row>
    <row r="24" spans="1:12" ht="12.75">
      <c r="A24" t="s">
        <v>406</v>
      </c>
      <c r="B24" s="161" t="s">
        <v>681</v>
      </c>
      <c r="C24" s="42">
        <v>1</v>
      </c>
      <c r="D24" s="42">
        <v>3</v>
      </c>
      <c r="E24" s="42">
        <v>1</v>
      </c>
      <c r="F24" s="42">
        <v>5</v>
      </c>
      <c r="G24" s="43">
        <v>1</v>
      </c>
      <c r="H24" s="5">
        <v>1</v>
      </c>
      <c r="I24" s="170" t="s">
        <v>751</v>
      </c>
      <c r="J24" s="5"/>
      <c r="K24" s="42">
        <v>-1</v>
      </c>
      <c r="L24" s="76" t="s">
        <v>402</v>
      </c>
    </row>
    <row r="25" spans="1:12" ht="12.75">
      <c r="A25" t="s">
        <v>406</v>
      </c>
      <c r="B25" s="162" t="s">
        <v>682</v>
      </c>
      <c r="C25" s="78">
        <v>2</v>
      </c>
      <c r="D25" s="78">
        <v>4</v>
      </c>
      <c r="E25" s="78">
        <v>1</v>
      </c>
      <c r="F25" s="78">
        <v>6</v>
      </c>
      <c r="G25" s="79">
        <v>1</v>
      </c>
      <c r="H25" s="12">
        <v>3</v>
      </c>
      <c r="I25" s="170" t="s">
        <v>751</v>
      </c>
      <c r="J25" s="12"/>
      <c r="K25" s="78">
        <v>0</v>
      </c>
      <c r="L25" s="80" t="s">
        <v>403</v>
      </c>
    </row>
    <row r="26" spans="1:12" ht="12.75">
      <c r="A26" t="s">
        <v>406</v>
      </c>
      <c r="B26" s="160" t="s">
        <v>695</v>
      </c>
      <c r="C26" s="42">
        <v>1</v>
      </c>
      <c r="D26" s="42">
        <v>4</v>
      </c>
      <c r="E26" s="42">
        <v>1</v>
      </c>
      <c r="F26" s="42">
        <v>6</v>
      </c>
      <c r="G26" s="43">
        <v>2</v>
      </c>
      <c r="H26" s="5">
        <v>1</v>
      </c>
      <c r="I26" s="170" t="s">
        <v>751</v>
      </c>
      <c r="J26" s="5" t="s">
        <v>37</v>
      </c>
      <c r="K26" s="42">
        <v>0</v>
      </c>
      <c r="L26" s="76" t="s">
        <v>402</v>
      </c>
    </row>
    <row r="27" spans="1:12" ht="12.75">
      <c r="A27" t="s">
        <v>406</v>
      </c>
      <c r="B27" s="161" t="s">
        <v>696</v>
      </c>
      <c r="C27" s="42">
        <v>1</v>
      </c>
      <c r="D27" s="42">
        <v>2</v>
      </c>
      <c r="E27" s="42">
        <v>2</v>
      </c>
      <c r="F27" s="42">
        <v>3</v>
      </c>
      <c r="G27" s="43">
        <v>2</v>
      </c>
      <c r="H27" s="5">
        <v>1</v>
      </c>
      <c r="I27" s="170" t="s">
        <v>751</v>
      </c>
      <c r="J27" s="5" t="s">
        <v>37</v>
      </c>
      <c r="K27" s="42">
        <v>-2</v>
      </c>
      <c r="L27" s="76" t="s">
        <v>402</v>
      </c>
    </row>
    <row r="28" spans="1:12" ht="12.75">
      <c r="A28" t="s">
        <v>406</v>
      </c>
      <c r="B28" s="161" t="s">
        <v>697</v>
      </c>
      <c r="C28" s="42">
        <v>0</v>
      </c>
      <c r="D28" s="42">
        <v>3</v>
      </c>
      <c r="E28" s="42">
        <v>1</v>
      </c>
      <c r="F28" s="42">
        <v>4</v>
      </c>
      <c r="G28" s="43">
        <v>2</v>
      </c>
      <c r="H28" s="5">
        <v>1</v>
      </c>
      <c r="I28" s="170" t="s">
        <v>751</v>
      </c>
      <c r="J28" s="5" t="s">
        <v>37</v>
      </c>
      <c r="K28" s="42">
        <v>-2</v>
      </c>
      <c r="L28" s="76" t="s">
        <v>402</v>
      </c>
    </row>
    <row r="29" spans="1:12" ht="12.75">
      <c r="A29" t="s">
        <v>406</v>
      </c>
      <c r="B29" s="161" t="s">
        <v>698</v>
      </c>
      <c r="C29" s="42">
        <v>2</v>
      </c>
      <c r="D29" s="42">
        <v>4</v>
      </c>
      <c r="E29" s="42">
        <v>1</v>
      </c>
      <c r="F29" s="42">
        <v>5</v>
      </c>
      <c r="G29" s="43">
        <v>3</v>
      </c>
      <c r="H29" s="5">
        <v>1</v>
      </c>
      <c r="I29" s="170" t="s">
        <v>751</v>
      </c>
      <c r="J29" s="5" t="s">
        <v>37</v>
      </c>
      <c r="K29" s="42">
        <v>0</v>
      </c>
      <c r="L29" s="76" t="s">
        <v>402</v>
      </c>
    </row>
    <row r="30" spans="1:12" ht="12.75">
      <c r="A30" t="s">
        <v>406</v>
      </c>
      <c r="B30" s="161" t="s">
        <v>699</v>
      </c>
      <c r="C30" s="42">
        <v>1</v>
      </c>
      <c r="D30" s="42">
        <v>3</v>
      </c>
      <c r="E30" s="42">
        <v>1</v>
      </c>
      <c r="F30" s="42">
        <v>8</v>
      </c>
      <c r="G30" s="43">
        <v>3</v>
      </c>
      <c r="H30" s="5">
        <v>1</v>
      </c>
      <c r="I30" s="170" t="s">
        <v>751</v>
      </c>
      <c r="J30" s="5" t="s">
        <v>37</v>
      </c>
      <c r="K30" s="42">
        <v>0</v>
      </c>
      <c r="L30" s="76" t="s">
        <v>402</v>
      </c>
    </row>
    <row r="31" spans="1:12" ht="12.75">
      <c r="A31" t="s">
        <v>406</v>
      </c>
      <c r="B31" s="161" t="s">
        <v>700</v>
      </c>
      <c r="C31" s="42">
        <v>2</v>
      </c>
      <c r="D31" s="42">
        <v>3</v>
      </c>
      <c r="E31" s="42">
        <v>1</v>
      </c>
      <c r="F31" s="42">
        <v>7</v>
      </c>
      <c r="G31" s="43">
        <v>3</v>
      </c>
      <c r="H31" s="5">
        <v>1</v>
      </c>
      <c r="I31" s="170" t="s">
        <v>751</v>
      </c>
      <c r="J31" s="5" t="s">
        <v>37</v>
      </c>
      <c r="K31" s="42">
        <v>0</v>
      </c>
      <c r="L31" s="76" t="s">
        <v>402</v>
      </c>
    </row>
    <row r="32" spans="1:12" ht="12.75">
      <c r="A32" t="s">
        <v>406</v>
      </c>
      <c r="B32" s="161" t="s">
        <v>701</v>
      </c>
      <c r="C32" s="42">
        <v>2</v>
      </c>
      <c r="D32" s="42">
        <v>2</v>
      </c>
      <c r="E32" s="42">
        <v>1</v>
      </c>
      <c r="F32" s="42">
        <v>5</v>
      </c>
      <c r="G32" s="43">
        <v>2</v>
      </c>
      <c r="H32" s="5">
        <v>1</v>
      </c>
      <c r="I32" s="170" t="s">
        <v>751</v>
      </c>
      <c r="J32" s="5" t="s">
        <v>37</v>
      </c>
      <c r="K32" s="42">
        <v>-1</v>
      </c>
      <c r="L32" s="76" t="s">
        <v>402</v>
      </c>
    </row>
    <row r="33" spans="1:12" ht="12.75">
      <c r="A33" t="s">
        <v>406</v>
      </c>
      <c r="B33" s="161" t="s">
        <v>702</v>
      </c>
      <c r="C33" s="42">
        <v>1</v>
      </c>
      <c r="D33" s="42">
        <v>3</v>
      </c>
      <c r="E33" s="42">
        <v>2</v>
      </c>
      <c r="F33" s="42">
        <v>5</v>
      </c>
      <c r="G33" s="43">
        <v>2</v>
      </c>
      <c r="H33" s="5">
        <v>1</v>
      </c>
      <c r="I33" s="170" t="s">
        <v>751</v>
      </c>
      <c r="J33" s="5" t="s">
        <v>37</v>
      </c>
      <c r="K33" s="42">
        <v>-1</v>
      </c>
      <c r="L33" s="76" t="s">
        <v>402</v>
      </c>
    </row>
    <row r="34" spans="1:12" ht="12.75">
      <c r="A34" t="s">
        <v>406</v>
      </c>
      <c r="B34" s="162" t="s">
        <v>703</v>
      </c>
      <c r="C34" s="78">
        <v>2</v>
      </c>
      <c r="D34" s="78">
        <v>4</v>
      </c>
      <c r="E34" s="78">
        <v>2</v>
      </c>
      <c r="F34" s="78">
        <v>6</v>
      </c>
      <c r="G34" s="79">
        <v>2</v>
      </c>
      <c r="H34" s="12">
        <v>3</v>
      </c>
      <c r="I34" s="170" t="s">
        <v>751</v>
      </c>
      <c r="J34" s="12" t="s">
        <v>37</v>
      </c>
      <c r="K34" s="78">
        <v>0</v>
      </c>
      <c r="L34" s="80" t="s">
        <v>403</v>
      </c>
    </row>
    <row r="35" spans="1:12" ht="12.75">
      <c r="A35" t="s">
        <v>406</v>
      </c>
      <c r="B35" s="160" t="s">
        <v>704</v>
      </c>
      <c r="C35" s="72">
        <v>1</v>
      </c>
      <c r="D35" s="72">
        <v>4</v>
      </c>
      <c r="E35" s="72">
        <v>2</v>
      </c>
      <c r="F35" s="72">
        <v>6</v>
      </c>
      <c r="G35" s="73">
        <v>3</v>
      </c>
      <c r="H35" s="74">
        <v>1</v>
      </c>
      <c r="I35" s="170" t="s">
        <v>751</v>
      </c>
      <c r="J35" s="74" t="s">
        <v>37</v>
      </c>
      <c r="K35" s="54">
        <v>0</v>
      </c>
      <c r="L35" s="58" t="s">
        <v>402</v>
      </c>
    </row>
    <row r="36" spans="1:12" ht="12.75">
      <c r="A36" t="s">
        <v>406</v>
      </c>
      <c r="B36" s="161" t="s">
        <v>705</v>
      </c>
      <c r="C36" s="42">
        <v>1</v>
      </c>
      <c r="D36" s="42">
        <v>2</v>
      </c>
      <c r="E36" s="42">
        <v>3</v>
      </c>
      <c r="F36" s="42">
        <v>3</v>
      </c>
      <c r="G36" s="43">
        <v>3</v>
      </c>
      <c r="H36" s="5">
        <v>1</v>
      </c>
      <c r="I36" s="170" t="s">
        <v>751</v>
      </c>
      <c r="J36" s="5" t="s">
        <v>37</v>
      </c>
      <c r="K36" s="39">
        <v>-1</v>
      </c>
      <c r="L36" s="59" t="s">
        <v>404</v>
      </c>
    </row>
    <row r="37" spans="1:12" ht="12.75">
      <c r="A37" t="s">
        <v>406</v>
      </c>
      <c r="B37" s="161" t="s">
        <v>706</v>
      </c>
      <c r="C37" s="42">
        <v>0</v>
      </c>
      <c r="D37" s="42">
        <v>3</v>
      </c>
      <c r="E37" s="42">
        <v>2</v>
      </c>
      <c r="F37" s="42">
        <v>4</v>
      </c>
      <c r="G37" s="43">
        <v>3</v>
      </c>
      <c r="H37" s="5">
        <v>1</v>
      </c>
      <c r="I37" s="170" t="s">
        <v>751</v>
      </c>
      <c r="J37" s="5" t="s">
        <v>37</v>
      </c>
      <c r="K37" s="39">
        <v>-1</v>
      </c>
      <c r="L37" s="76" t="s">
        <v>404</v>
      </c>
    </row>
    <row r="38" spans="1:12" ht="12.75">
      <c r="A38" t="s">
        <v>406</v>
      </c>
      <c r="B38" s="161" t="s">
        <v>707</v>
      </c>
      <c r="C38" s="42">
        <v>2</v>
      </c>
      <c r="D38" s="42">
        <v>4</v>
      </c>
      <c r="E38" s="42">
        <v>2</v>
      </c>
      <c r="F38" s="42">
        <v>5</v>
      </c>
      <c r="G38" s="43">
        <v>4</v>
      </c>
      <c r="H38" s="5">
        <v>1</v>
      </c>
      <c r="I38" s="170" t="s">
        <v>751</v>
      </c>
      <c r="J38" s="5" t="s">
        <v>37</v>
      </c>
      <c r="K38" s="39">
        <v>0</v>
      </c>
      <c r="L38" s="76" t="s">
        <v>402</v>
      </c>
    </row>
    <row r="39" spans="1:12" ht="12.75">
      <c r="A39" t="s">
        <v>406</v>
      </c>
      <c r="B39" s="161" t="s">
        <v>708</v>
      </c>
      <c r="C39" s="42">
        <v>1</v>
      </c>
      <c r="D39" s="42">
        <v>3</v>
      </c>
      <c r="E39" s="42">
        <v>2</v>
      </c>
      <c r="F39" s="42">
        <v>8</v>
      </c>
      <c r="G39" s="43">
        <v>4</v>
      </c>
      <c r="H39" s="5">
        <v>1</v>
      </c>
      <c r="I39" s="170" t="s">
        <v>751</v>
      </c>
      <c r="J39" s="5" t="s">
        <v>37</v>
      </c>
      <c r="K39" s="39">
        <v>0</v>
      </c>
      <c r="L39" s="76" t="s">
        <v>402</v>
      </c>
    </row>
    <row r="40" spans="1:12" ht="12.75">
      <c r="A40" t="s">
        <v>406</v>
      </c>
      <c r="B40" s="161" t="s">
        <v>709</v>
      </c>
      <c r="C40" s="42">
        <v>2</v>
      </c>
      <c r="D40" s="42">
        <v>3</v>
      </c>
      <c r="E40" s="42">
        <v>2</v>
      </c>
      <c r="F40" s="42">
        <v>7</v>
      </c>
      <c r="G40" s="43">
        <v>4</v>
      </c>
      <c r="H40" s="5">
        <v>1</v>
      </c>
      <c r="I40" s="170" t="s">
        <v>751</v>
      </c>
      <c r="J40" s="5" t="s">
        <v>37</v>
      </c>
      <c r="K40" s="39">
        <v>0</v>
      </c>
      <c r="L40" s="76" t="s">
        <v>402</v>
      </c>
    </row>
    <row r="41" spans="1:12" ht="12.75">
      <c r="A41" t="s">
        <v>406</v>
      </c>
      <c r="B41" s="161" t="s">
        <v>710</v>
      </c>
      <c r="C41" s="42">
        <v>2</v>
      </c>
      <c r="D41" s="42">
        <v>2</v>
      </c>
      <c r="E41" s="42">
        <v>2</v>
      </c>
      <c r="F41" s="42">
        <v>5</v>
      </c>
      <c r="G41" s="43">
        <v>3</v>
      </c>
      <c r="H41" s="5">
        <v>1</v>
      </c>
      <c r="I41" s="170" t="s">
        <v>751</v>
      </c>
      <c r="J41" s="5" t="s">
        <v>37</v>
      </c>
      <c r="K41" s="39">
        <v>-1</v>
      </c>
      <c r="L41" s="76" t="s">
        <v>404</v>
      </c>
    </row>
    <row r="42" spans="1:12" ht="12.75">
      <c r="A42" t="s">
        <v>406</v>
      </c>
      <c r="B42" s="161" t="s">
        <v>711</v>
      </c>
      <c r="C42" s="42">
        <v>1</v>
      </c>
      <c r="D42" s="42">
        <v>3</v>
      </c>
      <c r="E42" s="42">
        <v>3</v>
      </c>
      <c r="F42" s="42">
        <v>5</v>
      </c>
      <c r="G42" s="43">
        <v>3</v>
      </c>
      <c r="H42" s="5">
        <v>1</v>
      </c>
      <c r="I42" s="170" t="s">
        <v>751</v>
      </c>
      <c r="J42" s="5" t="s">
        <v>37</v>
      </c>
      <c r="K42" s="39">
        <v>-1</v>
      </c>
      <c r="L42" s="76" t="s">
        <v>402</v>
      </c>
    </row>
    <row r="43" spans="1:12" ht="12.75">
      <c r="A43" t="s">
        <v>406</v>
      </c>
      <c r="B43" s="162" t="s">
        <v>712</v>
      </c>
      <c r="C43" s="78">
        <v>2</v>
      </c>
      <c r="D43" s="78">
        <v>4</v>
      </c>
      <c r="E43" s="78">
        <v>3</v>
      </c>
      <c r="F43" s="78">
        <v>6</v>
      </c>
      <c r="G43" s="79">
        <v>3</v>
      </c>
      <c r="H43" s="12">
        <v>3</v>
      </c>
      <c r="I43" s="170" t="s">
        <v>751</v>
      </c>
      <c r="J43" s="12" t="s">
        <v>37</v>
      </c>
      <c r="K43" s="78">
        <v>0</v>
      </c>
      <c r="L43" s="80" t="s">
        <v>403</v>
      </c>
    </row>
    <row r="44" spans="1:12" ht="12.75">
      <c r="A44" t="s">
        <v>406</v>
      </c>
      <c r="B44" s="160" t="s">
        <v>713</v>
      </c>
      <c r="C44" s="72">
        <v>1</v>
      </c>
      <c r="D44" s="72">
        <v>4</v>
      </c>
      <c r="E44" s="72">
        <v>3</v>
      </c>
      <c r="F44" s="72">
        <v>6</v>
      </c>
      <c r="G44" s="73">
        <v>3</v>
      </c>
      <c r="H44" s="74">
        <v>1</v>
      </c>
      <c r="I44" s="170" t="s">
        <v>751</v>
      </c>
      <c r="J44" s="74" t="s">
        <v>37</v>
      </c>
      <c r="K44" s="54">
        <v>0</v>
      </c>
      <c r="L44" s="58" t="s">
        <v>402</v>
      </c>
    </row>
    <row r="45" spans="1:12" ht="12.75">
      <c r="A45" t="s">
        <v>406</v>
      </c>
      <c r="B45" s="161" t="s">
        <v>714</v>
      </c>
      <c r="C45" s="42">
        <v>1</v>
      </c>
      <c r="D45" s="42">
        <v>2</v>
      </c>
      <c r="E45" s="42">
        <v>4</v>
      </c>
      <c r="F45" s="42">
        <v>3</v>
      </c>
      <c r="G45" s="43">
        <v>3</v>
      </c>
      <c r="H45" s="5">
        <v>1</v>
      </c>
      <c r="I45" s="170" t="s">
        <v>751</v>
      </c>
      <c r="J45" s="5" t="s">
        <v>37</v>
      </c>
      <c r="K45" s="39">
        <v>0</v>
      </c>
      <c r="L45" s="59" t="s">
        <v>402</v>
      </c>
    </row>
    <row r="46" spans="1:12" ht="12.75">
      <c r="A46" t="s">
        <v>406</v>
      </c>
      <c r="B46" s="161" t="s">
        <v>715</v>
      </c>
      <c r="C46" s="42">
        <v>0</v>
      </c>
      <c r="D46" s="42">
        <v>3</v>
      </c>
      <c r="E46" s="42">
        <v>3</v>
      </c>
      <c r="F46" s="42">
        <v>4</v>
      </c>
      <c r="G46" s="43">
        <v>3</v>
      </c>
      <c r="H46" s="5">
        <v>1</v>
      </c>
      <c r="I46" s="170" t="s">
        <v>751</v>
      </c>
      <c r="J46" s="5" t="s">
        <v>37</v>
      </c>
      <c r="K46" s="39">
        <v>0</v>
      </c>
      <c r="L46" s="59" t="s">
        <v>402</v>
      </c>
    </row>
    <row r="47" spans="1:12" ht="12.75">
      <c r="A47" t="s">
        <v>406</v>
      </c>
      <c r="B47" s="161" t="s">
        <v>716</v>
      </c>
      <c r="C47" s="42">
        <v>2</v>
      </c>
      <c r="D47" s="42">
        <v>4</v>
      </c>
      <c r="E47" s="42">
        <v>3</v>
      </c>
      <c r="F47" s="42">
        <v>5</v>
      </c>
      <c r="G47" s="43">
        <v>4</v>
      </c>
      <c r="H47" s="5">
        <v>1</v>
      </c>
      <c r="I47" s="170" t="s">
        <v>751</v>
      </c>
      <c r="J47" s="5" t="s">
        <v>37</v>
      </c>
      <c r="K47" s="39">
        <v>0</v>
      </c>
      <c r="L47" s="59" t="s">
        <v>402</v>
      </c>
    </row>
    <row r="48" spans="1:12" ht="12.75">
      <c r="A48" t="s">
        <v>406</v>
      </c>
      <c r="B48" s="161" t="s">
        <v>717</v>
      </c>
      <c r="C48" s="42">
        <v>1</v>
      </c>
      <c r="D48" s="42">
        <v>3</v>
      </c>
      <c r="E48" s="42">
        <v>3</v>
      </c>
      <c r="F48" s="42">
        <v>8</v>
      </c>
      <c r="G48" s="43">
        <v>4</v>
      </c>
      <c r="H48" s="5">
        <v>1</v>
      </c>
      <c r="I48" s="170" t="s">
        <v>751</v>
      </c>
      <c r="J48" s="5" t="s">
        <v>37</v>
      </c>
      <c r="K48" s="39">
        <v>0</v>
      </c>
      <c r="L48" s="59" t="s">
        <v>402</v>
      </c>
    </row>
    <row r="49" spans="1:12" ht="12.75">
      <c r="A49" t="s">
        <v>406</v>
      </c>
      <c r="B49" s="161" t="s">
        <v>718</v>
      </c>
      <c r="C49" s="42">
        <v>2</v>
      </c>
      <c r="D49" s="42">
        <v>3</v>
      </c>
      <c r="E49" s="42">
        <v>3</v>
      </c>
      <c r="F49" s="42">
        <v>7</v>
      </c>
      <c r="G49" s="43">
        <v>4</v>
      </c>
      <c r="H49" s="5">
        <v>1</v>
      </c>
      <c r="I49" s="170" t="s">
        <v>751</v>
      </c>
      <c r="J49" s="5" t="s">
        <v>37</v>
      </c>
      <c r="K49" s="39">
        <v>0</v>
      </c>
      <c r="L49" s="59" t="s">
        <v>402</v>
      </c>
    </row>
    <row r="50" spans="1:12" ht="12.75">
      <c r="A50" t="s">
        <v>406</v>
      </c>
      <c r="B50" s="161" t="s">
        <v>719</v>
      </c>
      <c r="C50" s="42">
        <v>2</v>
      </c>
      <c r="D50" s="42">
        <v>2</v>
      </c>
      <c r="E50" s="42">
        <v>3</v>
      </c>
      <c r="F50" s="42">
        <v>5</v>
      </c>
      <c r="G50" s="43">
        <v>3</v>
      </c>
      <c r="H50" s="5">
        <v>1</v>
      </c>
      <c r="I50" s="170" t="s">
        <v>751</v>
      </c>
      <c r="J50" s="5" t="s">
        <v>37</v>
      </c>
      <c r="K50" s="39">
        <v>0</v>
      </c>
      <c r="L50" s="59" t="s">
        <v>402</v>
      </c>
    </row>
    <row r="51" spans="1:12" ht="12.75">
      <c r="A51" t="s">
        <v>406</v>
      </c>
      <c r="B51" s="161" t="s">
        <v>720</v>
      </c>
      <c r="C51" s="42">
        <v>1</v>
      </c>
      <c r="D51" s="42">
        <v>3</v>
      </c>
      <c r="E51" s="42">
        <v>4</v>
      </c>
      <c r="F51" s="42">
        <v>5</v>
      </c>
      <c r="G51" s="43">
        <v>3</v>
      </c>
      <c r="H51" s="5">
        <v>1</v>
      </c>
      <c r="I51" s="170" t="s">
        <v>751</v>
      </c>
      <c r="J51" s="5" t="s">
        <v>37</v>
      </c>
      <c r="K51" s="39">
        <v>0</v>
      </c>
      <c r="L51" s="59" t="s">
        <v>402</v>
      </c>
    </row>
    <row r="52" spans="1:12" ht="12.75">
      <c r="A52" t="s">
        <v>406</v>
      </c>
      <c r="B52" s="162" t="s">
        <v>721</v>
      </c>
      <c r="C52" s="78">
        <v>2</v>
      </c>
      <c r="D52" s="78">
        <v>4</v>
      </c>
      <c r="E52" s="78">
        <v>4</v>
      </c>
      <c r="F52" s="78">
        <v>6</v>
      </c>
      <c r="G52" s="79">
        <v>3</v>
      </c>
      <c r="H52" s="12">
        <v>3</v>
      </c>
      <c r="I52" s="170" t="s">
        <v>751</v>
      </c>
      <c r="J52" s="12" t="s">
        <v>37</v>
      </c>
      <c r="K52" s="78">
        <v>0</v>
      </c>
      <c r="L52" s="80" t="s">
        <v>403</v>
      </c>
    </row>
    <row r="53" spans="1:12" ht="12.75">
      <c r="A53" t="s">
        <v>406</v>
      </c>
      <c r="B53" s="160" t="s">
        <v>722</v>
      </c>
      <c r="C53" s="72">
        <v>1</v>
      </c>
      <c r="D53" s="72">
        <v>4</v>
      </c>
      <c r="E53" s="72">
        <v>4</v>
      </c>
      <c r="F53" s="72">
        <v>6</v>
      </c>
      <c r="G53" s="73">
        <v>4</v>
      </c>
      <c r="H53" s="74">
        <v>1</v>
      </c>
      <c r="I53" s="170" t="s">
        <v>751</v>
      </c>
      <c r="J53" s="74" t="s">
        <v>37</v>
      </c>
      <c r="K53" s="54">
        <v>1</v>
      </c>
      <c r="L53" s="58" t="s">
        <v>403</v>
      </c>
    </row>
    <row r="54" spans="1:12" ht="12.75">
      <c r="A54" t="s">
        <v>406</v>
      </c>
      <c r="B54" s="161" t="s">
        <v>724</v>
      </c>
      <c r="C54" s="42">
        <v>1</v>
      </c>
      <c r="D54" s="42">
        <v>2</v>
      </c>
      <c r="E54" s="42">
        <v>5</v>
      </c>
      <c r="F54" s="42">
        <v>3</v>
      </c>
      <c r="G54" s="43">
        <v>4</v>
      </c>
      <c r="H54" s="5">
        <v>1</v>
      </c>
      <c r="I54" s="170" t="s">
        <v>751</v>
      </c>
      <c r="J54" s="5" t="s">
        <v>37</v>
      </c>
      <c r="K54" s="39">
        <v>1</v>
      </c>
      <c r="L54" s="59" t="s">
        <v>403</v>
      </c>
    </row>
    <row r="55" spans="1:12" ht="12.75">
      <c r="A55" t="s">
        <v>406</v>
      </c>
      <c r="B55" s="161" t="s">
        <v>725</v>
      </c>
      <c r="C55" s="42">
        <v>0</v>
      </c>
      <c r="D55" s="42">
        <v>3</v>
      </c>
      <c r="E55" s="42">
        <v>4</v>
      </c>
      <c r="F55" s="42">
        <v>4</v>
      </c>
      <c r="G55" s="43">
        <v>4</v>
      </c>
      <c r="H55" s="5">
        <v>1</v>
      </c>
      <c r="I55" s="170" t="s">
        <v>751</v>
      </c>
      <c r="J55" s="5" t="s">
        <v>37</v>
      </c>
      <c r="K55" s="39">
        <v>1</v>
      </c>
      <c r="L55" s="59" t="s">
        <v>403</v>
      </c>
    </row>
    <row r="56" spans="1:12" ht="12.75">
      <c r="A56" t="s">
        <v>406</v>
      </c>
      <c r="B56" s="161" t="s">
        <v>726</v>
      </c>
      <c r="C56" s="42">
        <v>2</v>
      </c>
      <c r="D56" s="42">
        <v>4</v>
      </c>
      <c r="E56" s="42">
        <v>4</v>
      </c>
      <c r="F56" s="42">
        <v>5</v>
      </c>
      <c r="G56" s="43">
        <v>5</v>
      </c>
      <c r="H56" s="5">
        <v>1</v>
      </c>
      <c r="I56" s="170" t="s">
        <v>751</v>
      </c>
      <c r="J56" s="5" t="s">
        <v>37</v>
      </c>
      <c r="K56" s="39">
        <v>1</v>
      </c>
      <c r="L56" s="59" t="s">
        <v>403</v>
      </c>
    </row>
    <row r="57" spans="1:12" ht="12.75">
      <c r="A57" t="s">
        <v>406</v>
      </c>
      <c r="B57" s="161" t="s">
        <v>727</v>
      </c>
      <c r="C57" s="42">
        <v>1</v>
      </c>
      <c r="D57" s="42">
        <v>3</v>
      </c>
      <c r="E57" s="42">
        <v>4</v>
      </c>
      <c r="F57" s="42">
        <v>8</v>
      </c>
      <c r="G57" s="43">
        <v>5</v>
      </c>
      <c r="H57" s="5">
        <v>1</v>
      </c>
      <c r="I57" s="170" t="s">
        <v>751</v>
      </c>
      <c r="J57" s="5" t="s">
        <v>37</v>
      </c>
      <c r="K57" s="39">
        <v>1</v>
      </c>
      <c r="L57" s="59" t="s">
        <v>403</v>
      </c>
    </row>
    <row r="58" spans="1:12" ht="12.75">
      <c r="A58" t="s">
        <v>406</v>
      </c>
      <c r="B58" s="161" t="s">
        <v>728</v>
      </c>
      <c r="C58" s="42">
        <v>2</v>
      </c>
      <c r="D58" s="42">
        <v>3</v>
      </c>
      <c r="E58" s="42">
        <v>4</v>
      </c>
      <c r="F58" s="42">
        <v>7</v>
      </c>
      <c r="G58" s="43">
        <v>5</v>
      </c>
      <c r="H58" s="5">
        <v>1</v>
      </c>
      <c r="I58" s="170" t="s">
        <v>751</v>
      </c>
      <c r="J58" s="5" t="s">
        <v>37</v>
      </c>
      <c r="K58" s="39">
        <v>1</v>
      </c>
      <c r="L58" s="59" t="s">
        <v>403</v>
      </c>
    </row>
    <row r="59" spans="1:12" ht="12.75">
      <c r="A59" t="s">
        <v>406</v>
      </c>
      <c r="B59" s="161" t="s">
        <v>729</v>
      </c>
      <c r="C59" s="42">
        <v>2</v>
      </c>
      <c r="D59" s="42">
        <v>2</v>
      </c>
      <c r="E59" s="42">
        <v>4</v>
      </c>
      <c r="F59" s="42">
        <v>5</v>
      </c>
      <c r="G59" s="43">
        <v>4</v>
      </c>
      <c r="H59" s="5">
        <v>1</v>
      </c>
      <c r="I59" s="170" t="s">
        <v>751</v>
      </c>
      <c r="J59" s="5" t="s">
        <v>37</v>
      </c>
      <c r="K59" s="39">
        <v>1</v>
      </c>
      <c r="L59" s="59" t="s">
        <v>403</v>
      </c>
    </row>
    <row r="60" spans="1:12" ht="12.75">
      <c r="A60" t="s">
        <v>406</v>
      </c>
      <c r="B60" s="161" t="s">
        <v>730</v>
      </c>
      <c r="C60" s="42">
        <v>1</v>
      </c>
      <c r="D60" s="42">
        <v>3</v>
      </c>
      <c r="E60" s="42">
        <v>5</v>
      </c>
      <c r="F60" s="42">
        <v>5</v>
      </c>
      <c r="G60" s="43">
        <v>4</v>
      </c>
      <c r="H60" s="5">
        <v>1</v>
      </c>
      <c r="I60" s="170" t="s">
        <v>751</v>
      </c>
      <c r="J60" s="5" t="s">
        <v>37</v>
      </c>
      <c r="K60" s="39">
        <v>1</v>
      </c>
      <c r="L60" s="59" t="s">
        <v>403</v>
      </c>
    </row>
    <row r="61" spans="1:12" ht="12.75">
      <c r="A61" t="s">
        <v>406</v>
      </c>
      <c r="B61" s="162" t="s">
        <v>731</v>
      </c>
      <c r="C61" s="78">
        <v>2</v>
      </c>
      <c r="D61" s="78">
        <v>4</v>
      </c>
      <c r="E61" s="78">
        <v>5</v>
      </c>
      <c r="F61" s="78">
        <v>6</v>
      </c>
      <c r="G61" s="79">
        <v>4</v>
      </c>
      <c r="H61" s="12">
        <v>3</v>
      </c>
      <c r="I61" s="170" t="s">
        <v>751</v>
      </c>
      <c r="J61" s="12" t="s">
        <v>37</v>
      </c>
      <c r="K61" s="60">
        <v>1</v>
      </c>
      <c r="L61" s="64" t="s">
        <v>403</v>
      </c>
    </row>
    <row r="62" spans="1:12" ht="12.75">
      <c r="A62" t="s">
        <v>409</v>
      </c>
      <c r="B62" s="71" t="s">
        <v>410</v>
      </c>
      <c r="C62" s="72">
        <v>0</v>
      </c>
      <c r="D62" s="72">
        <v>2</v>
      </c>
      <c r="E62" s="72">
        <v>1</v>
      </c>
      <c r="F62" s="72">
        <v>3</v>
      </c>
      <c r="G62" s="73">
        <v>1</v>
      </c>
      <c r="H62" s="74">
        <v>0</v>
      </c>
      <c r="I62" s="170" t="s">
        <v>751</v>
      </c>
      <c r="J62" s="74" t="s">
        <v>37</v>
      </c>
      <c r="K62" s="72">
        <v>-3</v>
      </c>
      <c r="L62" s="9" t="s">
        <v>404</v>
      </c>
    </row>
    <row r="63" spans="1:12" ht="12.75">
      <c r="A63" t="s">
        <v>409</v>
      </c>
      <c r="B63" s="77" t="s">
        <v>416</v>
      </c>
      <c r="C63" s="78">
        <v>1</v>
      </c>
      <c r="D63" s="78">
        <v>3</v>
      </c>
      <c r="E63" s="78">
        <v>3</v>
      </c>
      <c r="F63" s="78">
        <v>5</v>
      </c>
      <c r="G63" s="79">
        <v>1</v>
      </c>
      <c r="H63" s="12">
        <v>1</v>
      </c>
      <c r="I63" s="170" t="s">
        <v>751</v>
      </c>
      <c r="J63" s="12" t="s">
        <v>37</v>
      </c>
      <c r="K63" s="78">
        <v>-1</v>
      </c>
      <c r="L63" s="80" t="s">
        <v>402</v>
      </c>
    </row>
    <row r="64" spans="1:12" ht="12.75">
      <c r="A64" t="s">
        <v>411</v>
      </c>
      <c r="B64" s="71" t="s">
        <v>407</v>
      </c>
      <c r="C64" s="72">
        <v>1</v>
      </c>
      <c r="D64" s="72">
        <v>3</v>
      </c>
      <c r="E64" s="72">
        <v>1</v>
      </c>
      <c r="F64" s="72">
        <v>9</v>
      </c>
      <c r="G64" s="73">
        <v>2</v>
      </c>
      <c r="H64" s="74">
        <v>2</v>
      </c>
      <c r="I64" s="170" t="s">
        <v>751</v>
      </c>
      <c r="J64" s="74" t="s">
        <v>408</v>
      </c>
      <c r="K64" s="72">
        <v>1</v>
      </c>
      <c r="L64" s="9" t="s">
        <v>402</v>
      </c>
    </row>
    <row r="65" spans="1:12" ht="12.75">
      <c r="A65" t="s">
        <v>411</v>
      </c>
      <c r="B65" s="161" t="s">
        <v>747</v>
      </c>
      <c r="C65" s="42">
        <v>1</v>
      </c>
      <c r="D65" s="42">
        <v>4</v>
      </c>
      <c r="E65" s="42">
        <v>1</v>
      </c>
      <c r="F65" s="42">
        <v>7</v>
      </c>
      <c r="G65" s="43">
        <v>2</v>
      </c>
      <c r="H65" s="5">
        <v>2</v>
      </c>
      <c r="I65" s="170" t="s">
        <v>751</v>
      </c>
      <c r="J65" s="5" t="s">
        <v>408</v>
      </c>
      <c r="K65" s="42">
        <v>1</v>
      </c>
      <c r="L65" s="76" t="s">
        <v>404</v>
      </c>
    </row>
    <row r="66" spans="1:12" ht="12.75">
      <c r="A66" t="s">
        <v>411</v>
      </c>
      <c r="B66" s="161" t="s">
        <v>686</v>
      </c>
      <c r="C66" s="42">
        <v>1</v>
      </c>
      <c r="D66" s="42">
        <v>3</v>
      </c>
      <c r="E66" s="42">
        <v>1</v>
      </c>
      <c r="F66" s="42">
        <v>5</v>
      </c>
      <c r="G66" s="43">
        <v>2</v>
      </c>
      <c r="H66" s="5">
        <v>3</v>
      </c>
      <c r="I66" s="170" t="s">
        <v>751</v>
      </c>
      <c r="J66" s="5" t="s">
        <v>408</v>
      </c>
      <c r="K66" s="42">
        <v>0</v>
      </c>
      <c r="L66" s="76" t="s">
        <v>404</v>
      </c>
    </row>
    <row r="67" spans="1:12" ht="12.75">
      <c r="A67" t="s">
        <v>411</v>
      </c>
      <c r="B67" s="161" t="s">
        <v>687</v>
      </c>
      <c r="C67" s="42">
        <v>1</v>
      </c>
      <c r="D67" s="42">
        <v>3</v>
      </c>
      <c r="E67" s="42">
        <v>1</v>
      </c>
      <c r="F67" s="42">
        <v>8</v>
      </c>
      <c r="G67" s="43">
        <v>2</v>
      </c>
      <c r="H67" s="5">
        <v>2</v>
      </c>
      <c r="I67" s="170" t="s">
        <v>751</v>
      </c>
      <c r="J67" s="5" t="s">
        <v>408</v>
      </c>
      <c r="K67" s="42">
        <v>0</v>
      </c>
      <c r="L67" s="76" t="s">
        <v>404</v>
      </c>
    </row>
    <row r="68" spans="1:12" ht="12.75">
      <c r="A68" t="s">
        <v>411</v>
      </c>
      <c r="B68" s="161" t="s">
        <v>688</v>
      </c>
      <c r="C68" s="42">
        <v>3</v>
      </c>
      <c r="D68" s="42">
        <v>4</v>
      </c>
      <c r="E68" s="42">
        <v>1</v>
      </c>
      <c r="F68" s="42">
        <v>8</v>
      </c>
      <c r="G68" s="43">
        <v>2</v>
      </c>
      <c r="H68" s="5">
        <v>3</v>
      </c>
      <c r="I68" s="170" t="s">
        <v>751</v>
      </c>
      <c r="J68" s="5" t="s">
        <v>408</v>
      </c>
      <c r="K68" s="42">
        <v>2</v>
      </c>
      <c r="L68" s="76" t="s">
        <v>402</v>
      </c>
    </row>
    <row r="69" spans="1:12" ht="12.75">
      <c r="A69" t="s">
        <v>411</v>
      </c>
      <c r="B69" s="161" t="s">
        <v>689</v>
      </c>
      <c r="C69" s="42">
        <v>1</v>
      </c>
      <c r="D69" s="42">
        <v>5</v>
      </c>
      <c r="E69" s="42">
        <v>0</v>
      </c>
      <c r="F69" s="42">
        <v>11</v>
      </c>
      <c r="G69" s="43">
        <v>2</v>
      </c>
      <c r="H69" s="5">
        <v>2</v>
      </c>
      <c r="I69" s="170" t="s">
        <v>751</v>
      </c>
      <c r="J69" s="5" t="s">
        <v>408</v>
      </c>
      <c r="K69" s="42">
        <v>2</v>
      </c>
      <c r="L69" s="76" t="s">
        <v>402</v>
      </c>
    </row>
    <row r="70" spans="1:12" ht="12.75">
      <c r="A70" t="s">
        <v>411</v>
      </c>
      <c r="B70" s="161" t="s">
        <v>690</v>
      </c>
      <c r="C70" s="42">
        <v>3</v>
      </c>
      <c r="D70" s="42">
        <v>3</v>
      </c>
      <c r="E70" s="42">
        <v>1</v>
      </c>
      <c r="F70" s="42">
        <v>7</v>
      </c>
      <c r="G70" s="43">
        <v>3</v>
      </c>
      <c r="H70" s="5">
        <v>4</v>
      </c>
      <c r="I70" s="170" t="s">
        <v>751</v>
      </c>
      <c r="J70" s="5" t="s">
        <v>408</v>
      </c>
      <c r="K70" s="42">
        <v>3</v>
      </c>
      <c r="L70" s="76" t="s">
        <v>404</v>
      </c>
    </row>
    <row r="71" spans="1:12" ht="12.75">
      <c r="A71" t="s">
        <v>411</v>
      </c>
      <c r="B71" s="161" t="s">
        <v>691</v>
      </c>
      <c r="C71" s="42">
        <v>2</v>
      </c>
      <c r="D71" s="42">
        <v>5</v>
      </c>
      <c r="E71" s="42">
        <v>2</v>
      </c>
      <c r="F71" s="42">
        <v>9</v>
      </c>
      <c r="G71" s="43">
        <v>2</v>
      </c>
      <c r="H71" s="5">
        <v>2</v>
      </c>
      <c r="I71" s="170" t="s">
        <v>751</v>
      </c>
      <c r="J71" s="5" t="s">
        <v>408</v>
      </c>
      <c r="K71" s="42">
        <v>2</v>
      </c>
      <c r="L71" s="76" t="s">
        <v>403</v>
      </c>
    </row>
    <row r="72" spans="1:12" ht="12.75">
      <c r="A72" t="s">
        <v>411</v>
      </c>
      <c r="B72" s="161" t="s">
        <v>692</v>
      </c>
      <c r="C72" s="42">
        <v>2</v>
      </c>
      <c r="D72" s="42">
        <v>3</v>
      </c>
      <c r="E72" s="42">
        <v>3</v>
      </c>
      <c r="F72" s="42">
        <v>2</v>
      </c>
      <c r="G72" s="43">
        <v>2</v>
      </c>
      <c r="H72" s="5">
        <v>3</v>
      </c>
      <c r="I72" s="170" t="s">
        <v>751</v>
      </c>
      <c r="J72" s="5" t="s">
        <v>408</v>
      </c>
      <c r="K72" s="42">
        <v>2</v>
      </c>
      <c r="L72" s="76" t="s">
        <v>404</v>
      </c>
    </row>
    <row r="73" spans="1:12" ht="12.75">
      <c r="A73" t="s">
        <v>411</v>
      </c>
      <c r="B73" s="161" t="s">
        <v>693</v>
      </c>
      <c r="C73" s="42">
        <v>0</v>
      </c>
      <c r="D73" s="42">
        <v>6</v>
      </c>
      <c r="E73" s="42">
        <v>0</v>
      </c>
      <c r="F73" s="42">
        <v>12</v>
      </c>
      <c r="G73" s="43">
        <v>3</v>
      </c>
      <c r="H73" s="5">
        <v>2</v>
      </c>
      <c r="I73" s="170" t="s">
        <v>751</v>
      </c>
      <c r="J73" s="5" t="s">
        <v>408</v>
      </c>
      <c r="K73" s="42">
        <v>3</v>
      </c>
      <c r="L73" s="76" t="s">
        <v>402</v>
      </c>
    </row>
    <row r="74" spans="1:12" ht="12.75">
      <c r="A74" t="s">
        <v>412</v>
      </c>
      <c r="B74" s="160" t="s">
        <v>732</v>
      </c>
      <c r="C74" s="72">
        <v>0</v>
      </c>
      <c r="D74" s="72">
        <v>2</v>
      </c>
      <c r="E74" s="72">
        <v>0</v>
      </c>
      <c r="F74" s="72">
        <v>6</v>
      </c>
      <c r="G74" s="73">
        <v>1</v>
      </c>
      <c r="H74" s="74">
        <v>1</v>
      </c>
      <c r="I74" s="8">
        <v>5</v>
      </c>
      <c r="J74" s="74"/>
      <c r="K74" s="72">
        <v>0</v>
      </c>
      <c r="L74" s="9" t="s">
        <v>402</v>
      </c>
    </row>
    <row r="75" spans="1:12" ht="12.75">
      <c r="A75" t="s">
        <v>412</v>
      </c>
      <c r="B75" s="161" t="s">
        <v>733</v>
      </c>
      <c r="C75" s="42">
        <v>0</v>
      </c>
      <c r="D75" s="42">
        <v>2</v>
      </c>
      <c r="E75" s="42">
        <v>0</v>
      </c>
      <c r="F75" s="42">
        <v>5</v>
      </c>
      <c r="G75" s="43">
        <v>1</v>
      </c>
      <c r="H75" s="5">
        <v>2</v>
      </c>
      <c r="I75" s="6">
        <v>10</v>
      </c>
      <c r="J75" s="5"/>
      <c r="K75" s="42">
        <v>0</v>
      </c>
      <c r="L75" s="76" t="s">
        <v>402</v>
      </c>
    </row>
    <row r="76" spans="1:12" ht="12.75">
      <c r="A76" t="s">
        <v>412</v>
      </c>
      <c r="B76" s="161" t="s">
        <v>734</v>
      </c>
      <c r="C76" s="42">
        <v>0</v>
      </c>
      <c r="D76" s="42">
        <v>1</v>
      </c>
      <c r="E76" s="42">
        <v>0</v>
      </c>
      <c r="F76" s="42">
        <v>2</v>
      </c>
      <c r="G76" s="43">
        <v>0</v>
      </c>
      <c r="H76" s="5">
        <v>0</v>
      </c>
      <c r="I76" s="6">
        <v>5</v>
      </c>
      <c r="J76" s="5"/>
      <c r="K76" s="42">
        <v>-2</v>
      </c>
      <c r="L76" s="76" t="s">
        <v>404</v>
      </c>
    </row>
    <row r="77" spans="1:12" ht="12.75">
      <c r="A77" t="s">
        <v>412</v>
      </c>
      <c r="B77" s="161" t="s">
        <v>735</v>
      </c>
      <c r="C77" s="42">
        <v>-3</v>
      </c>
      <c r="D77" s="42">
        <v>1</v>
      </c>
      <c r="E77" s="42">
        <v>0</v>
      </c>
      <c r="F77" s="42">
        <v>4</v>
      </c>
      <c r="G77" s="43">
        <v>0</v>
      </c>
      <c r="H77" s="5">
        <v>1</v>
      </c>
      <c r="I77" s="6">
        <v>20</v>
      </c>
      <c r="J77" s="5"/>
      <c r="K77" s="42">
        <v>-3</v>
      </c>
      <c r="L77" s="76" t="s">
        <v>404</v>
      </c>
    </row>
    <row r="78" spans="1:12" ht="12.75">
      <c r="A78" t="s">
        <v>412</v>
      </c>
      <c r="B78" s="162" t="s">
        <v>736</v>
      </c>
      <c r="C78" s="78">
        <v>0</v>
      </c>
      <c r="D78" s="78">
        <v>1</v>
      </c>
      <c r="E78" s="78">
        <v>0</v>
      </c>
      <c r="F78" s="78">
        <v>2</v>
      </c>
      <c r="G78" s="79">
        <v>1</v>
      </c>
      <c r="H78" s="12">
        <v>0</v>
      </c>
      <c r="I78" s="11">
        <v>5</v>
      </c>
      <c r="J78" s="12"/>
      <c r="K78" s="78">
        <v>-1</v>
      </c>
      <c r="L78" s="80" t="s">
        <v>404</v>
      </c>
    </row>
    <row r="79" spans="2:4" ht="12.75">
      <c r="B79" s="7" t="s">
        <v>413</v>
      </c>
      <c r="C79" s="44" t="s">
        <v>398</v>
      </c>
      <c r="D79" s="44" t="s">
        <v>93</v>
      </c>
    </row>
    <row r="80" spans="1:12" ht="12.75">
      <c r="A80" t="s">
        <v>14</v>
      </c>
      <c r="B80" s="66" t="s">
        <v>14</v>
      </c>
      <c r="C80" s="67">
        <v>0</v>
      </c>
      <c r="D80" s="67">
        <v>0</v>
      </c>
      <c r="E80" s="67">
        <v>0</v>
      </c>
      <c r="F80" s="67">
        <v>0</v>
      </c>
      <c r="G80" s="68">
        <v>0</v>
      </c>
      <c r="H80" s="69">
        <v>0</v>
      </c>
      <c r="I80" s="70" t="s">
        <v>414</v>
      </c>
      <c r="J80" s="69" t="s">
        <v>408</v>
      </c>
      <c r="K80" s="67" t="s">
        <v>10</v>
      </c>
      <c r="L80" s="10" t="s">
        <v>10</v>
      </c>
    </row>
    <row r="81" spans="1:12" ht="12.75">
      <c r="A81" t="s">
        <v>415</v>
      </c>
      <c r="B81" s="160" t="s">
        <v>737</v>
      </c>
      <c r="C81" s="72">
        <v>-2</v>
      </c>
      <c r="D81" s="72">
        <v>4</v>
      </c>
      <c r="E81" s="72">
        <v>0</v>
      </c>
      <c r="F81" s="72">
        <v>8</v>
      </c>
      <c r="G81" s="73">
        <v>2</v>
      </c>
      <c r="H81" s="74">
        <v>1</v>
      </c>
      <c r="I81" s="8">
        <v>15</v>
      </c>
      <c r="J81" s="74" t="s">
        <v>408</v>
      </c>
      <c r="K81" s="72">
        <v>2</v>
      </c>
      <c r="L81" s="9" t="s">
        <v>403</v>
      </c>
    </row>
    <row r="82" spans="1:12" ht="12.75">
      <c r="A82" t="s">
        <v>415</v>
      </c>
      <c r="B82" s="162" t="s">
        <v>738</v>
      </c>
      <c r="C82" s="78">
        <v>-1</v>
      </c>
      <c r="D82" s="78">
        <v>3</v>
      </c>
      <c r="E82" s="78">
        <v>0</v>
      </c>
      <c r="F82" s="78">
        <v>6</v>
      </c>
      <c r="G82" s="79">
        <v>2</v>
      </c>
      <c r="H82" s="12">
        <v>1</v>
      </c>
      <c r="I82" s="11">
        <v>30</v>
      </c>
      <c r="J82" s="12" t="s">
        <v>408</v>
      </c>
      <c r="K82" s="78">
        <v>-1</v>
      </c>
      <c r="L82" s="80" t="s">
        <v>402</v>
      </c>
    </row>
    <row r="86" ht="12.75">
      <c r="A86" t="s">
        <v>419</v>
      </c>
    </row>
    <row r="87" spans="2:3" ht="12.75">
      <c r="B87" t="s">
        <v>93</v>
      </c>
      <c r="C87" s="7">
        <v>0</v>
      </c>
    </row>
    <row r="88" spans="2:3" ht="12.75">
      <c r="B88" t="s">
        <v>59</v>
      </c>
      <c r="C88" s="7">
        <v>1</v>
      </c>
    </row>
    <row r="89" spans="2:3" ht="12.75">
      <c r="B89" t="s">
        <v>420</v>
      </c>
      <c r="C89" s="7">
        <v>1</v>
      </c>
    </row>
    <row r="90" spans="2:3" ht="12.75">
      <c r="B90" t="s">
        <v>426</v>
      </c>
      <c r="C90" s="7">
        <v>2</v>
      </c>
    </row>
    <row r="91" spans="2:3" ht="12.75">
      <c r="B91" t="s">
        <v>118</v>
      </c>
      <c r="C91" s="7">
        <v>3</v>
      </c>
    </row>
    <row r="92" spans="2:3" ht="12.75">
      <c r="B92" t="s">
        <v>65</v>
      </c>
      <c r="C92" s="7">
        <v>4</v>
      </c>
    </row>
    <row r="94" ht="12.75">
      <c r="A94" t="s">
        <v>421</v>
      </c>
    </row>
    <row r="95" spans="2:3" ht="12.75">
      <c r="B95" s="7" t="s">
        <v>76</v>
      </c>
      <c r="C95" s="44">
        <v>0</v>
      </c>
    </row>
    <row r="96" spans="2:3" ht="12.75">
      <c r="B96" s="7" t="s">
        <v>66</v>
      </c>
      <c r="C96" s="44">
        <v>1</v>
      </c>
    </row>
    <row r="97" spans="2:3" ht="12.75">
      <c r="B97" s="7" t="s">
        <v>265</v>
      </c>
      <c r="C97" s="44">
        <v>1</v>
      </c>
    </row>
    <row r="98" spans="2:3" ht="12.75">
      <c r="B98" s="7" t="s">
        <v>94</v>
      </c>
      <c r="C98" s="44">
        <v>2</v>
      </c>
    </row>
    <row r="99" spans="2:3" ht="12.75">
      <c r="B99" s="7" t="s">
        <v>89</v>
      </c>
      <c r="C99" s="44">
        <v>2</v>
      </c>
    </row>
    <row r="100" spans="2:3" ht="12.75">
      <c r="B100" s="7" t="s">
        <v>60</v>
      </c>
      <c r="C100" s="44">
        <v>3</v>
      </c>
    </row>
    <row r="101" spans="2:3" ht="12.75">
      <c r="B101" s="7" t="s">
        <v>101</v>
      </c>
      <c r="C101" s="44">
        <v>4</v>
      </c>
    </row>
    <row r="103" ht="12.75">
      <c r="A103" t="s">
        <v>15</v>
      </c>
    </row>
    <row r="104" spans="2:3" ht="12.75">
      <c r="B104" s="7" t="s">
        <v>55</v>
      </c>
      <c r="C104" s="44">
        <v>0</v>
      </c>
    </row>
    <row r="105" spans="2:3" ht="12.75">
      <c r="B105" s="7" t="s">
        <v>160</v>
      </c>
      <c r="C105" s="44">
        <v>0</v>
      </c>
    </row>
    <row r="106" spans="2:3" ht="12.75">
      <c r="B106" s="7" t="s">
        <v>429</v>
      </c>
      <c r="C106" s="44">
        <v>0</v>
      </c>
    </row>
    <row r="107" spans="2:3" ht="12.75">
      <c r="B107" s="7" t="s">
        <v>422</v>
      </c>
      <c r="C107" s="44">
        <v>1</v>
      </c>
    </row>
    <row r="108" spans="2:3" ht="12.75">
      <c r="B108" s="7" t="s">
        <v>59</v>
      </c>
      <c r="C108" s="44">
        <v>1</v>
      </c>
    </row>
    <row r="109" spans="2:3" ht="12.75">
      <c r="B109" s="7" t="s">
        <v>85</v>
      </c>
      <c r="C109" s="44">
        <v>2</v>
      </c>
    </row>
    <row r="110" spans="2:3" ht="12.75">
      <c r="B110" s="7" t="s">
        <v>105</v>
      </c>
      <c r="C110" s="44">
        <v>2</v>
      </c>
    </row>
    <row r="111" spans="2:3" ht="12.75">
      <c r="B111" s="7" t="s">
        <v>430</v>
      </c>
      <c r="C111" s="44">
        <v>2</v>
      </c>
    </row>
    <row r="112" spans="2:3" ht="12.75">
      <c r="B112" s="7" t="s">
        <v>208</v>
      </c>
      <c r="C112" s="44">
        <v>3</v>
      </c>
    </row>
    <row r="113" spans="2:3" ht="12.75">
      <c r="B113" s="7" t="s">
        <v>432</v>
      </c>
      <c r="C113" s="44">
        <v>3</v>
      </c>
    </row>
    <row r="114" spans="2:3" ht="12.75">
      <c r="B114" s="7" t="s">
        <v>61</v>
      </c>
      <c r="C114" s="44">
        <v>4</v>
      </c>
    </row>
    <row r="115" spans="2:3" ht="12.75">
      <c r="B115" s="7" t="s">
        <v>431</v>
      </c>
      <c r="C115" s="44">
        <v>4</v>
      </c>
    </row>
    <row r="117" spans="1:2" ht="12.75">
      <c r="A117" t="s">
        <v>595</v>
      </c>
      <c r="B117" s="7">
        <v>75</v>
      </c>
    </row>
    <row r="118" spans="1:2" ht="12.75">
      <c r="A118" t="s">
        <v>596</v>
      </c>
      <c r="B118" s="7">
        <v>45</v>
      </c>
    </row>
    <row r="119" spans="1:2" ht="12.75">
      <c r="A119" t="s">
        <v>597</v>
      </c>
      <c r="B119" s="7">
        <v>15</v>
      </c>
    </row>
    <row r="120" spans="1:2" ht="12.75">
      <c r="A120" t="s">
        <v>598</v>
      </c>
      <c r="B120" s="7">
        <v>240</v>
      </c>
    </row>
    <row r="121" spans="1:2" ht="12.75">
      <c r="A121" t="s">
        <v>599</v>
      </c>
      <c r="B121" s="7">
        <v>120</v>
      </c>
    </row>
    <row r="122" spans="1:2" ht="12.75">
      <c r="A122" t="s">
        <v>600</v>
      </c>
      <c r="B122" s="7">
        <v>30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6" sqref="A6"/>
    </sheetView>
  </sheetViews>
  <sheetFormatPr defaultColWidth="9.33203125" defaultRowHeight="12.75"/>
  <cols>
    <col min="1" max="1" width="131" style="0" customWidth="1"/>
  </cols>
  <sheetData>
    <row r="1" ht="12.75">
      <c r="A1" t="s">
        <v>528</v>
      </c>
    </row>
    <row r="3" ht="12.75">
      <c r="A3" t="s">
        <v>519</v>
      </c>
    </row>
    <row r="4" ht="12.75">
      <c r="A4" t="s">
        <v>520</v>
      </c>
    </row>
    <row r="5" ht="12.75">
      <c r="A5" t="s">
        <v>838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2007-03-11T05:56:01Z</cp:lastPrinted>
  <dcterms:created xsi:type="dcterms:W3CDTF">1997-03-17T17:29:53Z</dcterms:created>
  <dcterms:modified xsi:type="dcterms:W3CDTF">2008-10-13T02:57:13Z</dcterms:modified>
  <cp:category/>
  <cp:version/>
  <cp:contentType/>
  <cp:contentStatus/>
</cp:coreProperties>
</file>